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33673\Documents\DD3\donjonfacile\Age of Ashes\"/>
    </mc:Choice>
  </mc:AlternateContent>
  <xr:revisionPtr revIDLastSave="0" documentId="13_ncr:1_{5E3D93DB-3447-4B25-9A4D-68A7E65308B6}" xr6:coauthVersionLast="47" xr6:coauthVersionMax="47" xr10:uidLastSave="{00000000-0000-0000-0000-000000000000}"/>
  <bookViews>
    <workbookView xWindow="240" yWindow="1155" windowWidth="15300" windowHeight="7740" firstSheet="1" activeTab="11" xr2:uid="{9DB1D3D0-23A9-45A1-90D5-B471FD4592D7}"/>
  </bookViews>
  <sheets>
    <sheet name="Création" sheetId="10" state="hidden" r:id="rId1"/>
    <sheet name="Status courant" sheetId="1" r:id="rId2"/>
    <sheet name="Dés de vie" sheetId="2" state="hidden" r:id="rId3"/>
    <sheet name="Stats" sheetId="3" state="hidden" r:id="rId4"/>
    <sheet name="Skills" sheetId="4" state="hidden" r:id="rId5"/>
    <sheet name="Feats" sheetId="8" state="hidden" r:id="rId6"/>
    <sheet name="Spells" sheetId="11" state="hidden" r:id="rId7"/>
    <sheet name="Equipment Combat" sheetId="12" r:id="rId8"/>
    <sheet name="Minions" sheetId="50" state="hidden" r:id="rId9"/>
    <sheet name="Tip" sheetId="46" r:id="rId10"/>
    <sheet name="Zabra" sheetId="51" r:id="rId11"/>
    <sheet name="Belica" sheetId="56" r:id="rId12"/>
    <sheet name="Eddruk" sheetId="52" r:id="rId13"/>
    <sheet name="Thalion" sheetId="53" r:id="rId14"/>
    <sheet name="Osharys" sheetId="54" r:id="rId15"/>
    <sheet name="Ithiel" sheetId="55" r:id="rId16"/>
    <sheet name="Gartuk" sheetId="57" r:id="rId17"/>
  </sheets>
  <definedNames>
    <definedName name="_xlnm._FilterDatabase" localSheetId="5" hidden="1">Feats!$A$1:$M$57</definedName>
    <definedName name="_xlnm.Print_Area" localSheetId="11">Belica!$A$1:$AB$37</definedName>
    <definedName name="_xlnm.Print_Area" localSheetId="12">Eddruk!$A$1:$AB$37</definedName>
    <definedName name="_xlnm.Print_Area" localSheetId="16">Gartuk!$A$1:$AB$37</definedName>
    <definedName name="_xlnm.Print_Area" localSheetId="15">Ithiel!$A$1:$AB$37</definedName>
    <definedName name="_xlnm.Print_Area" localSheetId="14">Osharys!$A$1:$AB$37</definedName>
    <definedName name="_xlnm.Print_Area" localSheetId="13">Thalion!$A$1:$AB$37</definedName>
    <definedName name="_xlnm.Print_Area" localSheetId="9">Tip!$A$1:$AB$37</definedName>
    <definedName name="_xlnm.Print_Area" localSheetId="10">Zabra!$A$1:$AB$37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32" roundtripDataSignature="AMtx7mhQI7v2TedkkIwNezSGCgSKP49SdA=="/>
    </ext>
  </extLst>
</workbook>
</file>

<file path=xl/calcChain.xml><?xml version="1.0" encoding="utf-8"?>
<calcChain xmlns="http://schemas.openxmlformats.org/spreadsheetml/2006/main">
  <c r="D505" i="12" l="1"/>
  <c r="D482" i="12"/>
  <c r="D480" i="12" s="1"/>
  <c r="D476" i="12"/>
  <c r="D475" i="12"/>
  <c r="D474" i="12"/>
  <c r="B478" i="12"/>
  <c r="I374" i="12"/>
  <c r="H374" i="12"/>
  <c r="G374" i="12"/>
  <c r="F374" i="12"/>
  <c r="E374" i="12"/>
  <c r="D374" i="12"/>
  <c r="C374" i="12"/>
  <c r="B374" i="12"/>
  <c r="B401" i="12"/>
  <c r="C401" i="12"/>
  <c r="D401" i="12"/>
  <c r="E401" i="12"/>
  <c r="F401" i="12"/>
  <c r="G401" i="12"/>
  <c r="H401" i="12"/>
  <c r="I401" i="12"/>
  <c r="I428" i="12"/>
  <c r="H428" i="12"/>
  <c r="G428" i="12"/>
  <c r="F428" i="12"/>
  <c r="D428" i="12"/>
  <c r="C428" i="12"/>
  <c r="B428" i="12"/>
  <c r="B455" i="12"/>
  <c r="C455" i="12"/>
  <c r="D455" i="12"/>
  <c r="E455" i="12"/>
  <c r="F455" i="12"/>
  <c r="G455" i="12"/>
  <c r="H455" i="12"/>
  <c r="I455" i="12"/>
  <c r="H509" i="12"/>
  <c r="E509" i="12"/>
  <c r="T7" i="57"/>
  <c r="T7" i="55"/>
  <c r="T7" i="54"/>
  <c r="T7" i="53"/>
  <c r="T7" i="52"/>
  <c r="T7" i="56"/>
  <c r="T7" i="51"/>
  <c r="T7" i="46"/>
  <c r="I482" i="12"/>
  <c r="H482" i="12"/>
  <c r="E482" i="12"/>
  <c r="F482" i="12"/>
  <c r="F480" i="12" s="1"/>
  <c r="F476" i="12"/>
  <c r="F475" i="12"/>
  <c r="F474" i="12"/>
  <c r="H298" i="12"/>
  <c r="H299" i="12"/>
  <c r="H300" i="12"/>
  <c r="H301" i="12"/>
  <c r="H302" i="12"/>
  <c r="H303" i="12"/>
  <c r="H304" i="12"/>
  <c r="H305" i="12"/>
  <c r="H306" i="12"/>
  <c r="H307" i="12"/>
  <c r="H308" i="12"/>
  <c r="H309" i="12"/>
  <c r="H310" i="12"/>
  <c r="H311" i="12"/>
  <c r="H242" i="12"/>
  <c r="H243" i="12"/>
  <c r="H244" i="12"/>
  <c r="H245" i="12"/>
  <c r="H246" i="12"/>
  <c r="H247" i="12"/>
  <c r="H248" i="12"/>
  <c r="H249" i="12"/>
  <c r="H250" i="12"/>
  <c r="H251" i="12"/>
  <c r="H252" i="12"/>
  <c r="H253" i="12"/>
  <c r="G188" i="12"/>
  <c r="U5" i="1"/>
  <c r="T5" i="1"/>
  <c r="N5" i="1"/>
  <c r="O5" i="1"/>
  <c r="P5" i="1"/>
  <c r="Q5" i="1"/>
  <c r="R5" i="1"/>
  <c r="S5" i="1"/>
  <c r="M5" i="1"/>
  <c r="L5" i="1"/>
  <c r="AA12" i="51"/>
  <c r="W12" i="51"/>
  <c r="AA11" i="51"/>
  <c r="W11" i="51"/>
  <c r="AA9" i="51"/>
  <c r="AA8" i="51"/>
  <c r="AA12" i="56"/>
  <c r="W12" i="56"/>
  <c r="AA11" i="56"/>
  <c r="W11" i="56"/>
  <c r="AA9" i="56"/>
  <c r="AA8" i="56"/>
  <c r="AA12" i="52"/>
  <c r="W12" i="52"/>
  <c r="AA11" i="52"/>
  <c r="W11" i="52"/>
  <c r="AA9" i="52"/>
  <c r="AA8" i="52"/>
  <c r="AA12" i="57"/>
  <c r="W12" i="57"/>
  <c r="AA11" i="57"/>
  <c r="W11" i="57"/>
  <c r="AA9" i="57"/>
  <c r="AA8" i="57"/>
  <c r="AA12" i="55"/>
  <c r="W12" i="55"/>
  <c r="AA11" i="55"/>
  <c r="W11" i="55"/>
  <c r="AA9" i="55"/>
  <c r="AA8" i="55"/>
  <c r="AA12" i="54"/>
  <c r="W12" i="54"/>
  <c r="AA11" i="54"/>
  <c r="W11" i="54"/>
  <c r="AA9" i="54"/>
  <c r="AA8" i="54"/>
  <c r="AA12" i="53"/>
  <c r="W12" i="53"/>
  <c r="AA11" i="53"/>
  <c r="W11" i="53"/>
  <c r="AA9" i="53"/>
  <c r="AA8" i="53"/>
  <c r="AA12" i="46"/>
  <c r="W12" i="46"/>
  <c r="W11" i="46"/>
  <c r="AA11" i="46"/>
  <c r="AA9" i="46"/>
  <c r="W9" i="51"/>
  <c r="W9" i="56"/>
  <c r="W9" i="52"/>
  <c r="W9" i="53"/>
  <c r="W9" i="54"/>
  <c r="W9" i="55"/>
  <c r="W9" i="57"/>
  <c r="W9" i="46"/>
  <c r="AA8" i="46"/>
  <c r="W8" i="51"/>
  <c r="W8" i="56"/>
  <c r="W8" i="52"/>
  <c r="W8" i="53"/>
  <c r="W8" i="54"/>
  <c r="W8" i="55"/>
  <c r="W8" i="57"/>
  <c r="W8" i="46"/>
  <c r="Y93" i="57"/>
  <c r="Y93" i="55"/>
  <c r="Y93" i="54"/>
  <c r="Y93" i="53"/>
  <c r="Y93" i="52"/>
  <c r="Y93" i="56"/>
  <c r="Y93" i="51"/>
  <c r="Y93" i="46"/>
  <c r="I49" i="55"/>
  <c r="L509" i="12"/>
  <c r="L507" i="12" s="1"/>
  <c r="L503" i="12"/>
  <c r="L502" i="12"/>
  <c r="L501" i="12"/>
  <c r="E501" i="12"/>
  <c r="M23" i="57"/>
  <c r="M22" i="57"/>
  <c r="M21" i="57"/>
  <c r="M20" i="57"/>
  <c r="M19" i="57"/>
  <c r="M18" i="57"/>
  <c r="M23" i="55"/>
  <c r="M22" i="55"/>
  <c r="M21" i="55"/>
  <c r="M20" i="55"/>
  <c r="M19" i="55"/>
  <c r="M18" i="55"/>
  <c r="M23" i="54"/>
  <c r="M22" i="54"/>
  <c r="M21" i="54"/>
  <c r="M20" i="54"/>
  <c r="M19" i="54"/>
  <c r="M18" i="54"/>
  <c r="M23" i="53"/>
  <c r="M22" i="53"/>
  <c r="M21" i="53"/>
  <c r="M20" i="53"/>
  <c r="M19" i="53"/>
  <c r="M18" i="53"/>
  <c r="M23" i="52"/>
  <c r="M22" i="52"/>
  <c r="M21" i="52"/>
  <c r="M20" i="52"/>
  <c r="M19" i="52"/>
  <c r="M18" i="52"/>
  <c r="M23" i="56"/>
  <c r="M22" i="56"/>
  <c r="M21" i="56"/>
  <c r="M20" i="56"/>
  <c r="M19" i="56"/>
  <c r="M18" i="56"/>
  <c r="M23" i="51"/>
  <c r="M22" i="51"/>
  <c r="M21" i="51"/>
  <c r="M20" i="51"/>
  <c r="M19" i="51"/>
  <c r="M18" i="51"/>
  <c r="M23" i="46"/>
  <c r="M22" i="46"/>
  <c r="M21" i="46"/>
  <c r="M20" i="46"/>
  <c r="M19" i="46"/>
  <c r="M18" i="46"/>
  <c r="C304" i="4"/>
  <c r="D304" i="4"/>
  <c r="E304" i="4"/>
  <c r="F304" i="4"/>
  <c r="G304" i="4"/>
  <c r="H304" i="4"/>
  <c r="I304" i="4"/>
  <c r="J304" i="4"/>
  <c r="B304" i="4"/>
  <c r="W95" i="57"/>
  <c r="V95" i="57"/>
  <c r="U95" i="57"/>
  <c r="T95" i="57"/>
  <c r="S95" i="57"/>
  <c r="R95" i="57"/>
  <c r="Q95" i="57"/>
  <c r="P95" i="57"/>
  <c r="O95" i="57"/>
  <c r="N95" i="57"/>
  <c r="W92" i="57"/>
  <c r="V92" i="57"/>
  <c r="U92" i="57"/>
  <c r="T92" i="57"/>
  <c r="W95" i="55"/>
  <c r="V95" i="55"/>
  <c r="U95" i="55"/>
  <c r="T95" i="55"/>
  <c r="S95" i="55"/>
  <c r="R95" i="55"/>
  <c r="Q95" i="55"/>
  <c r="P95" i="55"/>
  <c r="O95" i="55"/>
  <c r="N95" i="55"/>
  <c r="W92" i="55"/>
  <c r="V92" i="55"/>
  <c r="U92" i="55"/>
  <c r="T92" i="55"/>
  <c r="W95" i="54"/>
  <c r="V95" i="54"/>
  <c r="U95" i="54"/>
  <c r="T95" i="54"/>
  <c r="S95" i="54"/>
  <c r="R95" i="54"/>
  <c r="Q95" i="54"/>
  <c r="P95" i="54"/>
  <c r="O95" i="54"/>
  <c r="N95" i="54"/>
  <c r="W92" i="54"/>
  <c r="V92" i="54"/>
  <c r="U92" i="54"/>
  <c r="T92" i="54"/>
  <c r="W95" i="53"/>
  <c r="V95" i="53"/>
  <c r="U95" i="53"/>
  <c r="T95" i="53"/>
  <c r="S95" i="53"/>
  <c r="R95" i="53"/>
  <c r="Q95" i="53"/>
  <c r="P95" i="53"/>
  <c r="O95" i="53"/>
  <c r="N95" i="53"/>
  <c r="W92" i="53"/>
  <c r="V92" i="53"/>
  <c r="U92" i="53"/>
  <c r="T92" i="53"/>
  <c r="W95" i="52"/>
  <c r="V95" i="52"/>
  <c r="U95" i="52"/>
  <c r="T95" i="52"/>
  <c r="S95" i="52"/>
  <c r="R95" i="52"/>
  <c r="Q95" i="52"/>
  <c r="P95" i="52"/>
  <c r="O95" i="52"/>
  <c r="N95" i="52"/>
  <c r="W92" i="52"/>
  <c r="V92" i="52"/>
  <c r="U92" i="52"/>
  <c r="T92" i="52"/>
  <c r="W95" i="56"/>
  <c r="V95" i="56"/>
  <c r="U95" i="56"/>
  <c r="T95" i="56"/>
  <c r="S95" i="56"/>
  <c r="R95" i="56"/>
  <c r="Q95" i="56"/>
  <c r="P95" i="56"/>
  <c r="O95" i="56"/>
  <c r="N95" i="56"/>
  <c r="W92" i="56"/>
  <c r="V92" i="56"/>
  <c r="U92" i="56"/>
  <c r="T92" i="56"/>
  <c r="W95" i="51"/>
  <c r="V95" i="51"/>
  <c r="U95" i="51"/>
  <c r="T95" i="51"/>
  <c r="S95" i="51"/>
  <c r="R95" i="51"/>
  <c r="Q95" i="51"/>
  <c r="P95" i="51"/>
  <c r="O95" i="51"/>
  <c r="N95" i="51"/>
  <c r="W92" i="51"/>
  <c r="V92" i="51"/>
  <c r="U92" i="51"/>
  <c r="T92" i="51"/>
  <c r="W92" i="46"/>
  <c r="V92" i="46"/>
  <c r="U92" i="46"/>
  <c r="T92" i="46"/>
  <c r="W95" i="46"/>
  <c r="V95" i="46"/>
  <c r="U95" i="46"/>
  <c r="T95" i="46"/>
  <c r="S95" i="46"/>
  <c r="R95" i="46"/>
  <c r="Q95" i="46"/>
  <c r="P95" i="46"/>
  <c r="O95" i="46"/>
  <c r="N95" i="46"/>
  <c r="N83" i="57"/>
  <c r="P83" i="57"/>
  <c r="N83" i="55"/>
  <c r="P83" i="55"/>
  <c r="N83" i="54"/>
  <c r="P83" i="54"/>
  <c r="N83" i="53"/>
  <c r="P83" i="53"/>
  <c r="N83" i="52"/>
  <c r="P83" i="52"/>
  <c r="N83" i="56"/>
  <c r="P83" i="56"/>
  <c r="N83" i="51"/>
  <c r="P83" i="51"/>
  <c r="N83" i="46"/>
  <c r="P83" i="46"/>
  <c r="X83" i="46"/>
  <c r="B120" i="56"/>
  <c r="B119" i="56"/>
  <c r="B118" i="56"/>
  <c r="B117" i="56"/>
  <c r="B116" i="56"/>
  <c r="B115" i="56"/>
  <c r="B114" i="56"/>
  <c r="B113" i="56"/>
  <c r="B112" i="56"/>
  <c r="B111" i="56"/>
  <c r="B109" i="56"/>
  <c r="B107" i="56"/>
  <c r="B106" i="56"/>
  <c r="B105" i="56"/>
  <c r="B104" i="56"/>
  <c r="B103" i="56"/>
  <c r="B102" i="56"/>
  <c r="B101" i="56"/>
  <c r="B99" i="56"/>
  <c r="D478" i="12" l="1"/>
  <c r="D472" i="12" s="1"/>
  <c r="L505" i="12"/>
  <c r="L499" i="12" s="1"/>
  <c r="M6" i="1"/>
  <c r="N6" i="1"/>
  <c r="O6" i="1"/>
  <c r="P6" i="1"/>
  <c r="Q6" i="1"/>
  <c r="R6" i="1"/>
  <c r="S6" i="1"/>
  <c r="T6" i="1"/>
  <c r="U6" i="1"/>
  <c r="L6" i="1"/>
  <c r="S9" i="57"/>
  <c r="S9" i="55"/>
  <c r="S9" i="54"/>
  <c r="S9" i="53"/>
  <c r="S9" i="52"/>
  <c r="S9" i="56"/>
  <c r="S9" i="51"/>
  <c r="S9" i="46"/>
  <c r="I474" i="12"/>
  <c r="K134" i="57"/>
  <c r="K133" i="57"/>
  <c r="K132" i="57"/>
  <c r="K131" i="57"/>
  <c r="K130" i="57"/>
  <c r="K129" i="57"/>
  <c r="K128" i="57"/>
  <c r="K127" i="57"/>
  <c r="K126" i="57"/>
  <c r="K125" i="57"/>
  <c r="K124" i="57"/>
  <c r="K123" i="57"/>
  <c r="K122" i="57"/>
  <c r="K121" i="57"/>
  <c r="K120" i="57"/>
  <c r="K119" i="57"/>
  <c r="K118" i="57"/>
  <c r="K117" i="57"/>
  <c r="K116" i="57"/>
  <c r="K115" i="57"/>
  <c r="K114" i="57"/>
  <c r="K113" i="57"/>
  <c r="K112" i="57"/>
  <c r="K111" i="57"/>
  <c r="K110" i="57"/>
  <c r="K109" i="57"/>
  <c r="K108" i="57"/>
  <c r="K107" i="57"/>
  <c r="K106" i="57"/>
  <c r="K105" i="57"/>
  <c r="K104" i="57"/>
  <c r="K103" i="57"/>
  <c r="K102" i="57"/>
  <c r="K101" i="57"/>
  <c r="K100" i="57"/>
  <c r="K99" i="57"/>
  <c r="K98" i="57"/>
  <c r="K97" i="57"/>
  <c r="K134" i="55"/>
  <c r="K133" i="55"/>
  <c r="K132" i="55"/>
  <c r="K131" i="55"/>
  <c r="K130" i="55"/>
  <c r="K129" i="55"/>
  <c r="K128" i="55"/>
  <c r="K127" i="55"/>
  <c r="K126" i="55"/>
  <c r="K125" i="55"/>
  <c r="K124" i="55"/>
  <c r="K123" i="55"/>
  <c r="K122" i="55"/>
  <c r="K121" i="55"/>
  <c r="K120" i="55"/>
  <c r="K119" i="55"/>
  <c r="K118" i="55"/>
  <c r="K117" i="55"/>
  <c r="K116" i="55"/>
  <c r="K115" i="55"/>
  <c r="K114" i="55"/>
  <c r="K113" i="55"/>
  <c r="K112" i="55"/>
  <c r="K111" i="55"/>
  <c r="K110" i="55"/>
  <c r="K109" i="55"/>
  <c r="K108" i="55"/>
  <c r="K107" i="55"/>
  <c r="K106" i="55"/>
  <c r="K105" i="55"/>
  <c r="K104" i="55"/>
  <c r="K103" i="55"/>
  <c r="K102" i="55"/>
  <c r="K101" i="55"/>
  <c r="K100" i="55"/>
  <c r="K99" i="55"/>
  <c r="K98" i="55"/>
  <c r="K97" i="55"/>
  <c r="K134" i="54"/>
  <c r="K133" i="54"/>
  <c r="K132" i="54"/>
  <c r="K131" i="54"/>
  <c r="K130" i="54"/>
  <c r="K129" i="54"/>
  <c r="K128" i="54"/>
  <c r="K127" i="54"/>
  <c r="K126" i="54"/>
  <c r="K125" i="54"/>
  <c r="K124" i="54"/>
  <c r="K123" i="54"/>
  <c r="K122" i="54"/>
  <c r="K121" i="54"/>
  <c r="K120" i="54"/>
  <c r="K119" i="54"/>
  <c r="K118" i="54"/>
  <c r="K117" i="54"/>
  <c r="K116" i="54"/>
  <c r="K115" i="54"/>
  <c r="K114" i="54"/>
  <c r="K113" i="54"/>
  <c r="K112" i="54"/>
  <c r="K111" i="54"/>
  <c r="K110" i="54"/>
  <c r="K109" i="54"/>
  <c r="K108" i="54"/>
  <c r="K107" i="54"/>
  <c r="K106" i="54"/>
  <c r="K105" i="54"/>
  <c r="K104" i="54"/>
  <c r="K103" i="54"/>
  <c r="K102" i="54"/>
  <c r="K101" i="54"/>
  <c r="K100" i="54"/>
  <c r="K99" i="54"/>
  <c r="K98" i="54"/>
  <c r="K97" i="54"/>
  <c r="K134" i="53"/>
  <c r="K133" i="53"/>
  <c r="K132" i="53"/>
  <c r="K131" i="53"/>
  <c r="K130" i="53"/>
  <c r="K129" i="53"/>
  <c r="K128" i="53"/>
  <c r="K127" i="53"/>
  <c r="K126" i="53"/>
  <c r="K125" i="53"/>
  <c r="K124" i="53"/>
  <c r="K123" i="53"/>
  <c r="K122" i="53"/>
  <c r="K121" i="53"/>
  <c r="K120" i="53"/>
  <c r="K119" i="53"/>
  <c r="K118" i="53"/>
  <c r="K117" i="53"/>
  <c r="K116" i="53"/>
  <c r="K115" i="53"/>
  <c r="K114" i="53"/>
  <c r="K113" i="53"/>
  <c r="K112" i="53"/>
  <c r="K111" i="53"/>
  <c r="K109" i="53"/>
  <c r="K108" i="53"/>
  <c r="K107" i="53"/>
  <c r="K106" i="53"/>
  <c r="K105" i="53"/>
  <c r="K102" i="53"/>
  <c r="K101" i="53"/>
  <c r="K100" i="53"/>
  <c r="K99" i="53"/>
  <c r="K98" i="53"/>
  <c r="K97" i="53"/>
  <c r="K134" i="52"/>
  <c r="K133" i="52"/>
  <c r="K132" i="52"/>
  <c r="K131" i="52"/>
  <c r="K130" i="52"/>
  <c r="K129" i="52"/>
  <c r="K128" i="52"/>
  <c r="K127" i="52"/>
  <c r="K126" i="52"/>
  <c r="K125" i="52"/>
  <c r="K124" i="52"/>
  <c r="K123" i="52"/>
  <c r="K122" i="52"/>
  <c r="K121" i="52"/>
  <c r="K120" i="52"/>
  <c r="K119" i="52"/>
  <c r="K118" i="52"/>
  <c r="K117" i="52"/>
  <c r="K116" i="52"/>
  <c r="K115" i="52"/>
  <c r="K114" i="52"/>
  <c r="K113" i="52"/>
  <c r="K112" i="52"/>
  <c r="K111" i="52"/>
  <c r="K110" i="52"/>
  <c r="K109" i="52"/>
  <c r="K108" i="52"/>
  <c r="K107" i="52"/>
  <c r="K106" i="52"/>
  <c r="K105" i="52"/>
  <c r="K104" i="52"/>
  <c r="K103" i="52"/>
  <c r="K102" i="52"/>
  <c r="K101" i="52"/>
  <c r="K100" i="52"/>
  <c r="K99" i="52"/>
  <c r="K98" i="52"/>
  <c r="K97" i="52"/>
  <c r="K134" i="56"/>
  <c r="K133" i="56"/>
  <c r="K132" i="56"/>
  <c r="K131" i="56"/>
  <c r="K130" i="56"/>
  <c r="K129" i="56"/>
  <c r="K128" i="56"/>
  <c r="K127" i="56"/>
  <c r="K126" i="56"/>
  <c r="K125" i="56"/>
  <c r="K124" i="56"/>
  <c r="K123" i="56"/>
  <c r="K122" i="56"/>
  <c r="K121" i="56"/>
  <c r="K120" i="56"/>
  <c r="K119" i="56"/>
  <c r="K118" i="56"/>
  <c r="K117" i="56"/>
  <c r="K116" i="56"/>
  <c r="K115" i="56"/>
  <c r="K113" i="56"/>
  <c r="K112" i="56"/>
  <c r="K111" i="56"/>
  <c r="K110" i="56"/>
  <c r="K109" i="56"/>
  <c r="K107" i="56"/>
  <c r="K105" i="56"/>
  <c r="K104" i="56"/>
  <c r="K103" i="56"/>
  <c r="K102" i="56"/>
  <c r="K101" i="56"/>
  <c r="K100" i="56"/>
  <c r="K99" i="56"/>
  <c r="K98" i="56"/>
  <c r="K97" i="56"/>
  <c r="K134" i="51"/>
  <c r="K133" i="51"/>
  <c r="K132" i="51"/>
  <c r="K131" i="51"/>
  <c r="K130" i="51"/>
  <c r="K129" i="51"/>
  <c r="K128" i="51"/>
  <c r="K127" i="51"/>
  <c r="K126" i="51"/>
  <c r="K125" i="51"/>
  <c r="K124" i="51"/>
  <c r="K123" i="51"/>
  <c r="K122" i="51"/>
  <c r="K121" i="51"/>
  <c r="K120" i="51"/>
  <c r="K119" i="51"/>
  <c r="K118" i="51"/>
  <c r="K117" i="51"/>
  <c r="K116" i="51"/>
  <c r="K115" i="51"/>
  <c r="K114" i="51"/>
  <c r="K113" i="51"/>
  <c r="K112" i="51"/>
  <c r="K111" i="51"/>
  <c r="K110" i="51"/>
  <c r="K109" i="51"/>
  <c r="K108" i="51"/>
  <c r="K107" i="51"/>
  <c r="K106" i="51"/>
  <c r="K105" i="51"/>
  <c r="K104" i="51"/>
  <c r="K103" i="51"/>
  <c r="K102" i="51"/>
  <c r="K101" i="51"/>
  <c r="K100" i="51"/>
  <c r="K99" i="51"/>
  <c r="K98" i="51"/>
  <c r="K97" i="51"/>
  <c r="K133" i="46"/>
  <c r="K131" i="46"/>
  <c r="K129" i="46"/>
  <c r="K127" i="46"/>
  <c r="K125" i="46"/>
  <c r="K123" i="46"/>
  <c r="K121" i="46"/>
  <c r="K119" i="46"/>
  <c r="K134" i="46"/>
  <c r="K132" i="46"/>
  <c r="K130" i="46"/>
  <c r="K128" i="46"/>
  <c r="K126" i="46"/>
  <c r="K124" i="46"/>
  <c r="K122" i="46"/>
  <c r="K120" i="46"/>
  <c r="K118" i="46"/>
  <c r="K116" i="46"/>
  <c r="K117" i="46"/>
  <c r="K115" i="46"/>
  <c r="K113" i="46"/>
  <c r="K111" i="46"/>
  <c r="K107" i="46"/>
  <c r="K114" i="46"/>
  <c r="K112" i="46"/>
  <c r="K110" i="46"/>
  <c r="K109" i="46"/>
  <c r="J21" i="3"/>
  <c r="J22" i="3"/>
  <c r="J23" i="3"/>
  <c r="J24" i="3"/>
  <c r="J25" i="3"/>
  <c r="J20" i="3"/>
  <c r="J89" i="3"/>
  <c r="N88" i="57"/>
  <c r="J88" i="57"/>
  <c r="B88" i="57"/>
  <c r="AB86" i="57"/>
  <c r="X86" i="57"/>
  <c r="P86" i="57"/>
  <c r="AB85" i="57"/>
  <c r="X85" i="57"/>
  <c r="P85" i="57"/>
  <c r="AB84" i="57"/>
  <c r="X84" i="57"/>
  <c r="P84" i="57"/>
  <c r="AB83" i="57"/>
  <c r="X83" i="57"/>
  <c r="AB82" i="57"/>
  <c r="X82" i="57"/>
  <c r="P82" i="57"/>
  <c r="AB81" i="57"/>
  <c r="X81" i="57"/>
  <c r="P81" i="57"/>
  <c r="AB80" i="57"/>
  <c r="X80" i="57"/>
  <c r="P80" i="57"/>
  <c r="AB79" i="57"/>
  <c r="X79" i="57"/>
  <c r="P79" i="57"/>
  <c r="AB78" i="57"/>
  <c r="X78" i="57"/>
  <c r="P78" i="57"/>
  <c r="AB77" i="57"/>
  <c r="X77" i="57"/>
  <c r="P77" i="57"/>
  <c r="AB76" i="57"/>
  <c r="X76" i="57"/>
  <c r="P76" i="57"/>
  <c r="AB75" i="57"/>
  <c r="X75" i="57"/>
  <c r="P75" i="57"/>
  <c r="AB74" i="57"/>
  <c r="X74" i="57"/>
  <c r="P74" i="57"/>
  <c r="AB73" i="57"/>
  <c r="X73" i="57"/>
  <c r="P73" i="57"/>
  <c r="AB72" i="57"/>
  <c r="X72" i="57"/>
  <c r="P72" i="57"/>
  <c r="AB71" i="57"/>
  <c r="X71" i="57"/>
  <c r="P71" i="57"/>
  <c r="AB70" i="57"/>
  <c r="X70" i="57"/>
  <c r="P70" i="57"/>
  <c r="AB69" i="57"/>
  <c r="X69" i="57"/>
  <c r="P69" i="57"/>
  <c r="AB68" i="57"/>
  <c r="X68" i="57"/>
  <c r="P68" i="57"/>
  <c r="AB67" i="57"/>
  <c r="X67" i="57"/>
  <c r="P67" i="57"/>
  <c r="AB66" i="57"/>
  <c r="X66" i="57"/>
  <c r="P66" i="57"/>
  <c r="AB65" i="57"/>
  <c r="X65" i="57"/>
  <c r="P65" i="57"/>
  <c r="N88" i="55"/>
  <c r="J88" i="55"/>
  <c r="B88" i="55"/>
  <c r="AB86" i="55"/>
  <c r="X86" i="55"/>
  <c r="P86" i="55"/>
  <c r="AB85" i="55"/>
  <c r="X85" i="55"/>
  <c r="P85" i="55"/>
  <c r="AB84" i="55"/>
  <c r="X84" i="55"/>
  <c r="P84" i="55"/>
  <c r="AB83" i="55"/>
  <c r="X83" i="55"/>
  <c r="AB82" i="55"/>
  <c r="X82" i="55"/>
  <c r="P82" i="55"/>
  <c r="AB81" i="55"/>
  <c r="X81" i="55"/>
  <c r="P81" i="55"/>
  <c r="AB80" i="55"/>
  <c r="X80" i="55"/>
  <c r="P80" i="55"/>
  <c r="AB79" i="55"/>
  <c r="X79" i="55"/>
  <c r="P79" i="55"/>
  <c r="AB78" i="55"/>
  <c r="X78" i="55"/>
  <c r="P78" i="55"/>
  <c r="AB77" i="55"/>
  <c r="X77" i="55"/>
  <c r="P77" i="55"/>
  <c r="AB76" i="55"/>
  <c r="X76" i="55"/>
  <c r="P76" i="55"/>
  <c r="AB75" i="55"/>
  <c r="X75" i="55"/>
  <c r="P75" i="55"/>
  <c r="AB74" i="55"/>
  <c r="X74" i="55"/>
  <c r="P74" i="55"/>
  <c r="AB73" i="55"/>
  <c r="X73" i="55"/>
  <c r="P73" i="55"/>
  <c r="AB72" i="55"/>
  <c r="X72" i="55"/>
  <c r="P72" i="55"/>
  <c r="AB71" i="55"/>
  <c r="X71" i="55"/>
  <c r="P71" i="55"/>
  <c r="AB70" i="55"/>
  <c r="X70" i="55"/>
  <c r="P70" i="55"/>
  <c r="AB69" i="55"/>
  <c r="X69" i="55"/>
  <c r="P69" i="55"/>
  <c r="AB68" i="55"/>
  <c r="X68" i="55"/>
  <c r="P68" i="55"/>
  <c r="AB67" i="55"/>
  <c r="X67" i="55"/>
  <c r="P67" i="55"/>
  <c r="AB66" i="55"/>
  <c r="X66" i="55"/>
  <c r="P66" i="55"/>
  <c r="AB65" i="55"/>
  <c r="X65" i="55"/>
  <c r="P65" i="55"/>
  <c r="N88" i="54"/>
  <c r="J88" i="54"/>
  <c r="B88" i="54"/>
  <c r="AB86" i="54"/>
  <c r="X86" i="54"/>
  <c r="P86" i="54"/>
  <c r="AB85" i="54"/>
  <c r="X85" i="54"/>
  <c r="P85" i="54"/>
  <c r="AB84" i="54"/>
  <c r="X84" i="54"/>
  <c r="P84" i="54"/>
  <c r="AB83" i="54"/>
  <c r="X83" i="54"/>
  <c r="AB82" i="54"/>
  <c r="X82" i="54"/>
  <c r="P82" i="54"/>
  <c r="AB81" i="54"/>
  <c r="X81" i="54"/>
  <c r="P81" i="54"/>
  <c r="AB80" i="54"/>
  <c r="X80" i="54"/>
  <c r="P80" i="54"/>
  <c r="AB79" i="54"/>
  <c r="X79" i="54"/>
  <c r="P79" i="54"/>
  <c r="AB78" i="54"/>
  <c r="X78" i="54"/>
  <c r="P78" i="54"/>
  <c r="AB77" i="54"/>
  <c r="X77" i="54"/>
  <c r="P77" i="54"/>
  <c r="AB76" i="54"/>
  <c r="X76" i="54"/>
  <c r="P76" i="54"/>
  <c r="AB75" i="54"/>
  <c r="X75" i="54"/>
  <c r="P75" i="54"/>
  <c r="AB74" i="54"/>
  <c r="X74" i="54"/>
  <c r="P74" i="54"/>
  <c r="AB73" i="54"/>
  <c r="X73" i="54"/>
  <c r="P73" i="54"/>
  <c r="AB72" i="54"/>
  <c r="X72" i="54"/>
  <c r="P72" i="54"/>
  <c r="AB71" i="54"/>
  <c r="X71" i="54"/>
  <c r="P71" i="54"/>
  <c r="AB70" i="54"/>
  <c r="X70" i="54"/>
  <c r="P70" i="54"/>
  <c r="AB69" i="54"/>
  <c r="X69" i="54"/>
  <c r="P69" i="54"/>
  <c r="AB68" i="54"/>
  <c r="X68" i="54"/>
  <c r="P68" i="54"/>
  <c r="AB67" i="54"/>
  <c r="X67" i="54"/>
  <c r="P67" i="54"/>
  <c r="AB66" i="54"/>
  <c r="X66" i="54"/>
  <c r="P66" i="54"/>
  <c r="AB65" i="54"/>
  <c r="X65" i="54"/>
  <c r="P65" i="54"/>
  <c r="N88" i="53"/>
  <c r="J88" i="53"/>
  <c r="B88" i="53"/>
  <c r="AB86" i="53"/>
  <c r="X86" i="53"/>
  <c r="P86" i="53"/>
  <c r="AB85" i="53"/>
  <c r="X85" i="53"/>
  <c r="P85" i="53"/>
  <c r="AB84" i="53"/>
  <c r="X84" i="53"/>
  <c r="P84" i="53"/>
  <c r="AB83" i="53"/>
  <c r="X83" i="53"/>
  <c r="AB82" i="53"/>
  <c r="X82" i="53"/>
  <c r="P82" i="53"/>
  <c r="AB81" i="53"/>
  <c r="X81" i="53"/>
  <c r="P81" i="53"/>
  <c r="AB80" i="53"/>
  <c r="X80" i="53"/>
  <c r="P80" i="53"/>
  <c r="AB79" i="53"/>
  <c r="X79" i="53"/>
  <c r="P79" i="53"/>
  <c r="AB78" i="53"/>
  <c r="X78" i="53"/>
  <c r="P78" i="53"/>
  <c r="AB77" i="53"/>
  <c r="X77" i="53"/>
  <c r="P77" i="53"/>
  <c r="AB76" i="53"/>
  <c r="X76" i="53"/>
  <c r="P76" i="53"/>
  <c r="AB75" i="53"/>
  <c r="X75" i="53"/>
  <c r="P75" i="53"/>
  <c r="AB74" i="53"/>
  <c r="X74" i="53"/>
  <c r="P74" i="53"/>
  <c r="AB73" i="53"/>
  <c r="X73" i="53"/>
  <c r="P73" i="53"/>
  <c r="AB72" i="53"/>
  <c r="X72" i="53"/>
  <c r="P72" i="53"/>
  <c r="AB71" i="53"/>
  <c r="X71" i="53"/>
  <c r="P71" i="53"/>
  <c r="AB70" i="53"/>
  <c r="X70" i="53"/>
  <c r="P70" i="53"/>
  <c r="AB69" i="53"/>
  <c r="X69" i="53"/>
  <c r="P69" i="53"/>
  <c r="AB68" i="53"/>
  <c r="X68" i="53"/>
  <c r="P68" i="53"/>
  <c r="AB67" i="53"/>
  <c r="X67" i="53"/>
  <c r="P67" i="53"/>
  <c r="AB66" i="53"/>
  <c r="X66" i="53"/>
  <c r="P66" i="53"/>
  <c r="AB65" i="53"/>
  <c r="X65" i="53"/>
  <c r="P65" i="53"/>
  <c r="N88" i="52"/>
  <c r="J88" i="52"/>
  <c r="B88" i="52"/>
  <c r="AB86" i="52"/>
  <c r="X86" i="52"/>
  <c r="P86" i="52"/>
  <c r="AB85" i="52"/>
  <c r="X85" i="52"/>
  <c r="P85" i="52"/>
  <c r="AB84" i="52"/>
  <c r="X84" i="52"/>
  <c r="P84" i="52"/>
  <c r="AB83" i="52"/>
  <c r="X83" i="52"/>
  <c r="AB82" i="52"/>
  <c r="X82" i="52"/>
  <c r="P82" i="52"/>
  <c r="AB81" i="52"/>
  <c r="X81" i="52"/>
  <c r="P81" i="52"/>
  <c r="AB80" i="52"/>
  <c r="X80" i="52"/>
  <c r="P80" i="52"/>
  <c r="AB79" i="52"/>
  <c r="X79" i="52"/>
  <c r="P79" i="52"/>
  <c r="AB78" i="52"/>
  <c r="X78" i="52"/>
  <c r="P78" i="52"/>
  <c r="AB77" i="52"/>
  <c r="X77" i="52"/>
  <c r="P77" i="52"/>
  <c r="AB76" i="52"/>
  <c r="X76" i="52"/>
  <c r="P76" i="52"/>
  <c r="AB75" i="52"/>
  <c r="X75" i="52"/>
  <c r="P75" i="52"/>
  <c r="AB74" i="52"/>
  <c r="X74" i="52"/>
  <c r="P74" i="52"/>
  <c r="AB73" i="52"/>
  <c r="X73" i="52"/>
  <c r="P73" i="52"/>
  <c r="AB72" i="52"/>
  <c r="X72" i="52"/>
  <c r="P72" i="52"/>
  <c r="AB71" i="52"/>
  <c r="X71" i="52"/>
  <c r="P71" i="52"/>
  <c r="AB70" i="52"/>
  <c r="X70" i="52"/>
  <c r="P70" i="52"/>
  <c r="AB69" i="52"/>
  <c r="X69" i="52"/>
  <c r="P69" i="52"/>
  <c r="AB68" i="52"/>
  <c r="X68" i="52"/>
  <c r="P68" i="52"/>
  <c r="AB67" i="52"/>
  <c r="X67" i="52"/>
  <c r="P67" i="52"/>
  <c r="AB66" i="52"/>
  <c r="X66" i="52"/>
  <c r="P66" i="52"/>
  <c r="AB65" i="52"/>
  <c r="X65" i="52"/>
  <c r="P65" i="52"/>
  <c r="N88" i="56"/>
  <c r="J88" i="56"/>
  <c r="B88" i="56"/>
  <c r="AB86" i="56"/>
  <c r="X86" i="56"/>
  <c r="P86" i="56"/>
  <c r="AB85" i="56"/>
  <c r="X85" i="56"/>
  <c r="P85" i="56"/>
  <c r="AB84" i="56"/>
  <c r="X84" i="56"/>
  <c r="P84" i="56"/>
  <c r="AB83" i="56"/>
  <c r="X83" i="56"/>
  <c r="AB82" i="56"/>
  <c r="X82" i="56"/>
  <c r="P82" i="56"/>
  <c r="AB81" i="56"/>
  <c r="X81" i="56"/>
  <c r="P81" i="56"/>
  <c r="AB80" i="56"/>
  <c r="X80" i="56"/>
  <c r="P80" i="56"/>
  <c r="AB79" i="56"/>
  <c r="X79" i="56"/>
  <c r="P79" i="56"/>
  <c r="AB78" i="56"/>
  <c r="X78" i="56"/>
  <c r="P78" i="56"/>
  <c r="AB77" i="56"/>
  <c r="X77" i="56"/>
  <c r="P77" i="56"/>
  <c r="AB76" i="56"/>
  <c r="X76" i="56"/>
  <c r="P76" i="56"/>
  <c r="AB75" i="56"/>
  <c r="X75" i="56"/>
  <c r="P75" i="56"/>
  <c r="AB74" i="56"/>
  <c r="X74" i="56"/>
  <c r="P74" i="56"/>
  <c r="AB73" i="56"/>
  <c r="X73" i="56"/>
  <c r="P73" i="56"/>
  <c r="AB72" i="56"/>
  <c r="X72" i="56"/>
  <c r="P72" i="56"/>
  <c r="AB71" i="56"/>
  <c r="X71" i="56"/>
  <c r="P71" i="56"/>
  <c r="AB70" i="56"/>
  <c r="X70" i="56"/>
  <c r="P70" i="56"/>
  <c r="AB69" i="56"/>
  <c r="X69" i="56"/>
  <c r="P69" i="56"/>
  <c r="AB68" i="56"/>
  <c r="X68" i="56"/>
  <c r="P68" i="56"/>
  <c r="AB67" i="56"/>
  <c r="X67" i="56"/>
  <c r="P67" i="56"/>
  <c r="AB66" i="56"/>
  <c r="X66" i="56"/>
  <c r="P66" i="56"/>
  <c r="AB65" i="56"/>
  <c r="X65" i="56"/>
  <c r="P65" i="56"/>
  <c r="N88" i="51"/>
  <c r="J88" i="51"/>
  <c r="B88" i="51"/>
  <c r="AB86" i="51"/>
  <c r="X86" i="51"/>
  <c r="P86" i="51"/>
  <c r="AB85" i="51"/>
  <c r="X85" i="51"/>
  <c r="P85" i="51"/>
  <c r="AB84" i="51"/>
  <c r="X84" i="51"/>
  <c r="P84" i="51"/>
  <c r="AB83" i="51"/>
  <c r="X83" i="51"/>
  <c r="AB82" i="51"/>
  <c r="X82" i="51"/>
  <c r="P82" i="51"/>
  <c r="AB81" i="51"/>
  <c r="X81" i="51"/>
  <c r="P81" i="51"/>
  <c r="AB80" i="51"/>
  <c r="X80" i="51"/>
  <c r="P80" i="51"/>
  <c r="AB79" i="51"/>
  <c r="X79" i="51"/>
  <c r="P79" i="51"/>
  <c r="AB78" i="51"/>
  <c r="X78" i="51"/>
  <c r="P78" i="51"/>
  <c r="AB77" i="51"/>
  <c r="X77" i="51"/>
  <c r="P77" i="51"/>
  <c r="AB76" i="51"/>
  <c r="X76" i="51"/>
  <c r="P76" i="51"/>
  <c r="AB75" i="51"/>
  <c r="X75" i="51"/>
  <c r="P75" i="51"/>
  <c r="AB74" i="51"/>
  <c r="X74" i="51"/>
  <c r="P74" i="51"/>
  <c r="AB73" i="51"/>
  <c r="X73" i="51"/>
  <c r="P73" i="51"/>
  <c r="AB72" i="51"/>
  <c r="X72" i="51"/>
  <c r="P72" i="51"/>
  <c r="AB71" i="51"/>
  <c r="X71" i="51"/>
  <c r="P71" i="51"/>
  <c r="AB70" i="51"/>
  <c r="X70" i="51"/>
  <c r="P70" i="51"/>
  <c r="AB69" i="51"/>
  <c r="X69" i="51"/>
  <c r="P69" i="51"/>
  <c r="AB68" i="51"/>
  <c r="X68" i="51"/>
  <c r="P68" i="51"/>
  <c r="AB67" i="51"/>
  <c r="X67" i="51"/>
  <c r="P67" i="51"/>
  <c r="AB66" i="51"/>
  <c r="X66" i="51"/>
  <c r="P66" i="51"/>
  <c r="AB65" i="51"/>
  <c r="X65" i="51"/>
  <c r="P65" i="51"/>
  <c r="P67" i="46" l="1"/>
  <c r="X67" i="46"/>
  <c r="AB67" i="46"/>
  <c r="P68" i="46"/>
  <c r="X68" i="46"/>
  <c r="AB68" i="46"/>
  <c r="P69" i="46"/>
  <c r="X69" i="46"/>
  <c r="AB69" i="46"/>
  <c r="P70" i="46"/>
  <c r="X70" i="46"/>
  <c r="AB70" i="46"/>
  <c r="P71" i="46"/>
  <c r="X71" i="46"/>
  <c r="AB71" i="46"/>
  <c r="P72" i="46"/>
  <c r="X72" i="46"/>
  <c r="AB72" i="46"/>
  <c r="P73" i="46"/>
  <c r="X73" i="46"/>
  <c r="AB73" i="46"/>
  <c r="P74" i="46"/>
  <c r="X74" i="46"/>
  <c r="AB74" i="46"/>
  <c r="P75" i="46"/>
  <c r="X75" i="46"/>
  <c r="AB75" i="46"/>
  <c r="P76" i="46"/>
  <c r="X76" i="46"/>
  <c r="AB76" i="46"/>
  <c r="P77" i="46"/>
  <c r="X77" i="46"/>
  <c r="AB77" i="46"/>
  <c r="P78" i="46"/>
  <c r="X78" i="46"/>
  <c r="AB78" i="46"/>
  <c r="P79" i="46"/>
  <c r="X79" i="46"/>
  <c r="AB79" i="46"/>
  <c r="P80" i="46"/>
  <c r="X80" i="46"/>
  <c r="AB80" i="46"/>
  <c r="P81" i="46"/>
  <c r="X81" i="46"/>
  <c r="AB81" i="46"/>
  <c r="P82" i="46"/>
  <c r="X82" i="46"/>
  <c r="AB82" i="46"/>
  <c r="AB83" i="46"/>
  <c r="P84" i="46"/>
  <c r="X84" i="46"/>
  <c r="AB84" i="46"/>
  <c r="P85" i="46"/>
  <c r="X85" i="46"/>
  <c r="AB85" i="46"/>
  <c r="P86" i="46"/>
  <c r="X86" i="46"/>
  <c r="AB86" i="46"/>
  <c r="AB66" i="46"/>
  <c r="AB65" i="46"/>
  <c r="N88" i="46"/>
  <c r="X66" i="46"/>
  <c r="X65" i="46"/>
  <c r="J88" i="46"/>
  <c r="P66" i="46"/>
  <c r="P65" i="46"/>
  <c r="B88" i="46"/>
  <c r="F241" i="12"/>
  <c r="B81" i="57"/>
  <c r="B19" i="57"/>
  <c r="B34" i="57"/>
  <c r="B34" i="55"/>
  <c r="B34" i="54"/>
  <c r="B34" i="53"/>
  <c r="B34" i="52"/>
  <c r="B34" i="56"/>
  <c r="B34" i="51"/>
  <c r="B34" i="46"/>
  <c r="B33" i="57"/>
  <c r="B33" i="55"/>
  <c r="B33" i="54"/>
  <c r="B33" i="53"/>
  <c r="B33" i="52"/>
  <c r="B33" i="56"/>
  <c r="B33" i="51"/>
  <c r="B33" i="46"/>
  <c r="I420" i="12"/>
  <c r="K20" i="57" s="1"/>
  <c r="I179" i="12"/>
  <c r="I288" i="12" s="1"/>
  <c r="H59" i="57" s="1"/>
  <c r="I338" i="12"/>
  <c r="Q7" i="57" s="1"/>
  <c r="G180" i="12"/>
  <c r="I447" i="12"/>
  <c r="K21" i="57" s="1"/>
  <c r="I393" i="12"/>
  <c r="K19" i="57" s="1"/>
  <c r="I366" i="12"/>
  <c r="K18" i="57" s="1"/>
  <c r="E94" i="57"/>
  <c r="D94" i="57"/>
  <c r="B94" i="57"/>
  <c r="E93" i="57"/>
  <c r="D93" i="57"/>
  <c r="B93" i="57"/>
  <c r="I37" i="57"/>
  <c r="I36" i="57"/>
  <c r="I35" i="57"/>
  <c r="I34" i="57"/>
  <c r="F34" i="57"/>
  <c r="D34" i="57"/>
  <c r="I33" i="57"/>
  <c r="I32" i="57"/>
  <c r="W31" i="57"/>
  <c r="I31" i="57"/>
  <c r="W30" i="57"/>
  <c r="I30" i="57"/>
  <c r="W29" i="57"/>
  <c r="I29" i="57"/>
  <c r="W28" i="57"/>
  <c r="I28" i="57"/>
  <c r="W27" i="57"/>
  <c r="I27" i="57"/>
  <c r="W26" i="57"/>
  <c r="I26" i="57"/>
  <c r="H15" i="57"/>
  <c r="H14" i="57"/>
  <c r="AA16" i="57"/>
  <c r="H13" i="57"/>
  <c r="AA15" i="57"/>
  <c r="H12" i="57"/>
  <c r="AA14" i="57"/>
  <c r="AA13" i="57"/>
  <c r="M9" i="57"/>
  <c r="AA10" i="57"/>
  <c r="AA7" i="57"/>
  <c r="AA6" i="57"/>
  <c r="I91" i="4"/>
  <c r="I41" i="4"/>
  <c r="I71" i="4"/>
  <c r="I94" i="57" s="1"/>
  <c r="I171" i="4"/>
  <c r="G15" i="57" s="1"/>
  <c r="I172" i="4"/>
  <c r="G12" i="57" s="1"/>
  <c r="I173" i="4"/>
  <c r="I174" i="4"/>
  <c r="G14" i="57" s="1"/>
  <c r="I175" i="4"/>
  <c r="H26" i="57" s="1"/>
  <c r="I176" i="4"/>
  <c r="H27" i="57" s="1"/>
  <c r="I177" i="4"/>
  <c r="H28" i="57" s="1"/>
  <c r="I178" i="4"/>
  <c r="I179" i="4"/>
  <c r="H30" i="57" s="1"/>
  <c r="I180" i="4"/>
  <c r="H31" i="57" s="1"/>
  <c r="I181" i="4"/>
  <c r="I182" i="4"/>
  <c r="I183" i="4"/>
  <c r="H33" i="57" s="1"/>
  <c r="I184" i="4"/>
  <c r="H34" i="57" s="1"/>
  <c r="I185" i="4"/>
  <c r="I186" i="4"/>
  <c r="H35" i="57" s="1"/>
  <c r="I187" i="4"/>
  <c r="H36" i="57" s="1"/>
  <c r="I188" i="4"/>
  <c r="H37" i="57" s="1"/>
  <c r="I189" i="4"/>
  <c r="I190" i="4"/>
  <c r="I191" i="4"/>
  <c r="V28" i="57" s="1"/>
  <c r="I192" i="4"/>
  <c r="V29" i="57" s="1"/>
  <c r="I193" i="4"/>
  <c r="I194" i="4"/>
  <c r="V31" i="57" s="1"/>
  <c r="I195" i="4"/>
  <c r="I196" i="4"/>
  <c r="I197" i="4"/>
  <c r="I198" i="4"/>
  <c r="I199" i="4"/>
  <c r="I449" i="12" s="1"/>
  <c r="I200" i="4"/>
  <c r="I422" i="12" s="1"/>
  <c r="J20" i="57" s="1"/>
  <c r="I201" i="4"/>
  <c r="I202" i="4"/>
  <c r="I32" i="4" s="1"/>
  <c r="I340" i="12" s="1"/>
  <c r="I203" i="4"/>
  <c r="I33" i="4" s="1"/>
  <c r="I204" i="4"/>
  <c r="I34" i="4" s="1"/>
  <c r="I205" i="4"/>
  <c r="I35" i="4" s="1"/>
  <c r="I206" i="4"/>
  <c r="L9" i="57" s="1"/>
  <c r="I282" i="4"/>
  <c r="I283" i="4"/>
  <c r="I284" i="4"/>
  <c r="I285" i="4"/>
  <c r="I286" i="4"/>
  <c r="I287" i="4"/>
  <c r="I288" i="4"/>
  <c r="I289" i="4"/>
  <c r="I290" i="4"/>
  <c r="I291" i="4"/>
  <c r="I292" i="4"/>
  <c r="I293" i="4"/>
  <c r="I294" i="4"/>
  <c r="I295" i="4"/>
  <c r="I296" i="4"/>
  <c r="I297" i="4"/>
  <c r="I298" i="4"/>
  <c r="I299" i="4"/>
  <c r="I300" i="4"/>
  <c r="I301" i="4"/>
  <c r="T23" i="46"/>
  <c r="S23" i="46"/>
  <c r="T22" i="46"/>
  <c r="S22" i="46"/>
  <c r="T21" i="46"/>
  <c r="S21" i="46"/>
  <c r="T20" i="46"/>
  <c r="S20" i="46"/>
  <c r="T19" i="46"/>
  <c r="S19" i="46"/>
  <c r="T18" i="46"/>
  <c r="S18" i="46"/>
  <c r="T23" i="56"/>
  <c r="S23" i="56"/>
  <c r="T22" i="56"/>
  <c r="S22" i="56"/>
  <c r="T21" i="56"/>
  <c r="S21" i="56"/>
  <c r="T20" i="56"/>
  <c r="S20" i="56"/>
  <c r="T19" i="56"/>
  <c r="S19" i="56"/>
  <c r="T18" i="56"/>
  <c r="S18" i="56"/>
  <c r="T23" i="52"/>
  <c r="S23" i="52"/>
  <c r="T22" i="52"/>
  <c r="S22" i="52"/>
  <c r="T21" i="52"/>
  <c r="S21" i="52"/>
  <c r="T20" i="52"/>
  <c r="S20" i="52"/>
  <c r="T19" i="52"/>
  <c r="S19" i="52"/>
  <c r="T18" i="52"/>
  <c r="S18" i="52"/>
  <c r="T23" i="53"/>
  <c r="S23" i="53"/>
  <c r="T22" i="53"/>
  <c r="S22" i="53"/>
  <c r="T21" i="53"/>
  <c r="S21" i="53"/>
  <c r="T20" i="53"/>
  <c r="S20" i="53"/>
  <c r="T19" i="53"/>
  <c r="S19" i="53"/>
  <c r="T18" i="53"/>
  <c r="S18" i="53"/>
  <c r="T23" i="55"/>
  <c r="S23" i="55"/>
  <c r="T22" i="55"/>
  <c r="S22" i="55"/>
  <c r="T21" i="55"/>
  <c r="S21" i="55"/>
  <c r="T20" i="55"/>
  <c r="S20" i="55"/>
  <c r="T19" i="55"/>
  <c r="S19" i="55"/>
  <c r="T18" i="55"/>
  <c r="S18" i="55"/>
  <c r="T23" i="54"/>
  <c r="S23" i="54"/>
  <c r="T22" i="54"/>
  <c r="S22" i="54"/>
  <c r="T21" i="54"/>
  <c r="S21" i="54"/>
  <c r="T20" i="54"/>
  <c r="S20" i="54"/>
  <c r="T19" i="54"/>
  <c r="S19" i="54"/>
  <c r="T18" i="54"/>
  <c r="S18" i="54"/>
  <c r="T23" i="57"/>
  <c r="S23" i="57"/>
  <c r="T22" i="57"/>
  <c r="S22" i="57"/>
  <c r="T21" i="57"/>
  <c r="S21" i="57"/>
  <c r="T20" i="57"/>
  <c r="S20" i="57"/>
  <c r="T19" i="57"/>
  <c r="S19" i="57"/>
  <c r="T18" i="57"/>
  <c r="S18" i="57"/>
  <c r="I505" i="12"/>
  <c r="I167" i="12"/>
  <c r="I221" i="12" s="1"/>
  <c r="I168" i="12"/>
  <c r="I292" i="12"/>
  <c r="O50" i="57" s="1"/>
  <c r="I222" i="12"/>
  <c r="H49" i="57" s="1"/>
  <c r="I223" i="12"/>
  <c r="H50" i="57" s="1"/>
  <c r="I224" i="12"/>
  <c r="H51" i="57" s="1"/>
  <c r="I225" i="12"/>
  <c r="H52" i="57" s="1"/>
  <c r="I226" i="12"/>
  <c r="H53" i="57" s="1"/>
  <c r="I227" i="12"/>
  <c r="H54" i="57" s="1"/>
  <c r="I228" i="12"/>
  <c r="H55" i="57" s="1"/>
  <c r="I229" i="12"/>
  <c r="H56" i="57" s="1"/>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253" i="12"/>
  <c r="I254" i="12"/>
  <c r="I255" i="12"/>
  <c r="I256" i="12"/>
  <c r="I257" i="12"/>
  <c r="I258" i="12"/>
  <c r="I259" i="12"/>
  <c r="I260" i="12"/>
  <c r="I261" i="12"/>
  <c r="I262" i="12"/>
  <c r="I263" i="12"/>
  <c r="I264" i="12"/>
  <c r="I265" i="12"/>
  <c r="I266" i="12"/>
  <c r="I267" i="12"/>
  <c r="I268" i="12"/>
  <c r="I269" i="12"/>
  <c r="I270" i="12"/>
  <c r="I271" i="12"/>
  <c r="I272" i="12"/>
  <c r="I276" i="12"/>
  <c r="I278" i="12"/>
  <c r="I279" i="12"/>
  <c r="I280" i="12"/>
  <c r="I281" i="12"/>
  <c r="I282" i="12"/>
  <c r="I283" i="12"/>
  <c r="I284" i="12"/>
  <c r="I285" i="12"/>
  <c r="I286" i="12"/>
  <c r="H57" i="57" s="1"/>
  <c r="I287" i="12"/>
  <c r="H58" i="57" s="1"/>
  <c r="I289" i="12"/>
  <c r="I290" i="12"/>
  <c r="I291" i="12"/>
  <c r="I293" i="12"/>
  <c r="O51" i="57" s="1"/>
  <c r="I294" i="12"/>
  <c r="O52" i="57" s="1"/>
  <c r="I295" i="12"/>
  <c r="I296" i="12"/>
  <c r="O54" i="57" s="1"/>
  <c r="I297" i="12"/>
  <c r="O55" i="57" s="1"/>
  <c r="I298" i="12"/>
  <c r="O56" i="57" s="1"/>
  <c r="I299" i="12"/>
  <c r="O57" i="57" s="1"/>
  <c r="I300" i="12"/>
  <c r="O58" i="57" s="1"/>
  <c r="I301" i="12"/>
  <c r="O59" i="57" s="1"/>
  <c r="I302" i="12"/>
  <c r="O60" i="57" s="1"/>
  <c r="I303" i="12"/>
  <c r="V48" i="57" s="1"/>
  <c r="I304" i="12"/>
  <c r="V49" i="57" s="1"/>
  <c r="I305" i="12"/>
  <c r="V50" i="57" s="1"/>
  <c r="I306" i="12"/>
  <c r="V51" i="57" s="1"/>
  <c r="I307" i="12"/>
  <c r="V52" i="57" s="1"/>
  <c r="I308" i="12"/>
  <c r="V53" i="57" s="1"/>
  <c r="I309" i="12"/>
  <c r="V54" i="57" s="1"/>
  <c r="I310" i="12"/>
  <c r="V55" i="57" s="1"/>
  <c r="I311" i="12"/>
  <c r="V56" i="57" s="1"/>
  <c r="I312" i="12"/>
  <c r="V57" i="57" s="1"/>
  <c r="I313" i="12"/>
  <c r="V58" i="57" s="1"/>
  <c r="I314" i="12"/>
  <c r="V59" i="57" s="1"/>
  <c r="I315" i="12"/>
  <c r="V60" i="57" s="1"/>
  <c r="I316" i="12"/>
  <c r="AB48" i="57" s="1"/>
  <c r="I317" i="12"/>
  <c r="AB49" i="57" s="1"/>
  <c r="I318" i="12"/>
  <c r="AB50" i="57" s="1"/>
  <c r="I319" i="12"/>
  <c r="AB51" i="57" s="1"/>
  <c r="I320" i="12"/>
  <c r="AB52" i="57" s="1"/>
  <c r="I321" i="12"/>
  <c r="AB53" i="57" s="1"/>
  <c r="I322" i="12"/>
  <c r="AB54" i="57" s="1"/>
  <c r="I323" i="12"/>
  <c r="AB55" i="57" s="1"/>
  <c r="I324" i="12"/>
  <c r="AB56" i="57" s="1"/>
  <c r="I325" i="12"/>
  <c r="AB57" i="57" s="1"/>
  <c r="I326" i="12"/>
  <c r="AB58" i="57" s="1"/>
  <c r="I327" i="12"/>
  <c r="AB59" i="57" s="1"/>
  <c r="I328" i="12"/>
  <c r="AB60" i="57" s="1"/>
  <c r="K23" i="57"/>
  <c r="E23" i="57"/>
  <c r="B147" i="57"/>
  <c r="B145" i="57"/>
  <c r="K143" i="57"/>
  <c r="K142" i="57"/>
  <c r="K141" i="57"/>
  <c r="K140" i="57"/>
  <c r="K139" i="57"/>
  <c r="H139" i="57"/>
  <c r="K138" i="57"/>
  <c r="B134" i="57"/>
  <c r="B133" i="57"/>
  <c r="B132" i="57"/>
  <c r="B131" i="57"/>
  <c r="B129" i="57"/>
  <c r="B126" i="57"/>
  <c r="B125" i="57"/>
  <c r="B124" i="57"/>
  <c r="B123" i="57"/>
  <c r="B120" i="57"/>
  <c r="B119" i="57"/>
  <c r="B118" i="57"/>
  <c r="B117" i="57"/>
  <c r="B116" i="57"/>
  <c r="B115" i="57"/>
  <c r="B114" i="57"/>
  <c r="B113" i="57"/>
  <c r="B112" i="57"/>
  <c r="B111" i="57"/>
  <c r="B110" i="57"/>
  <c r="B109" i="57"/>
  <c r="B108" i="57"/>
  <c r="B107" i="57"/>
  <c r="B106" i="57"/>
  <c r="B105" i="57"/>
  <c r="B104" i="57"/>
  <c r="B103" i="57"/>
  <c r="B102" i="57"/>
  <c r="B101" i="57"/>
  <c r="B100" i="57"/>
  <c r="B99" i="57"/>
  <c r="F97" i="57"/>
  <c r="B96" i="57"/>
  <c r="Q94" i="57"/>
  <c r="P94" i="57"/>
  <c r="O94" i="57"/>
  <c r="N94" i="57"/>
  <c r="K93" i="57"/>
  <c r="Q92" i="57"/>
  <c r="P92" i="57"/>
  <c r="O92" i="57"/>
  <c r="N92" i="57"/>
  <c r="N87" i="57"/>
  <c r="J87" i="57"/>
  <c r="B87" i="57"/>
  <c r="N86" i="57"/>
  <c r="J86" i="57"/>
  <c r="B86" i="57"/>
  <c r="N85" i="57"/>
  <c r="J85" i="57"/>
  <c r="B85" i="57"/>
  <c r="N84" i="57"/>
  <c r="J84" i="57"/>
  <c r="B84" i="57"/>
  <c r="J83" i="57"/>
  <c r="B83" i="57"/>
  <c r="N82" i="57"/>
  <c r="J82" i="57"/>
  <c r="B82" i="57"/>
  <c r="N81" i="57"/>
  <c r="J81" i="57"/>
  <c r="N80" i="57"/>
  <c r="J80" i="57"/>
  <c r="B80" i="57"/>
  <c r="N79" i="57"/>
  <c r="J79" i="57"/>
  <c r="B79" i="57"/>
  <c r="N78" i="57"/>
  <c r="J78" i="57"/>
  <c r="B78" i="57"/>
  <c r="N77" i="57"/>
  <c r="J77" i="57"/>
  <c r="B77" i="57"/>
  <c r="N76" i="57"/>
  <c r="J76" i="57"/>
  <c r="B76" i="57"/>
  <c r="N75" i="57"/>
  <c r="J75" i="57"/>
  <c r="B75" i="57"/>
  <c r="N74" i="57"/>
  <c r="J74" i="57"/>
  <c r="B74" i="57"/>
  <c r="N73" i="57"/>
  <c r="J73" i="57"/>
  <c r="B73" i="57"/>
  <c r="N72" i="57"/>
  <c r="J72" i="57"/>
  <c r="B72" i="57"/>
  <c r="N71" i="57"/>
  <c r="J71" i="57"/>
  <c r="B71" i="57"/>
  <c r="N70" i="57"/>
  <c r="J70" i="57"/>
  <c r="B70" i="57"/>
  <c r="N69" i="57"/>
  <c r="J69" i="57"/>
  <c r="B69" i="57"/>
  <c r="N68" i="57"/>
  <c r="J68" i="57"/>
  <c r="B68" i="57"/>
  <c r="N67" i="57"/>
  <c r="J67" i="57"/>
  <c r="B67" i="57"/>
  <c r="N66" i="57"/>
  <c r="J66" i="57"/>
  <c r="B66" i="57"/>
  <c r="N65" i="57"/>
  <c r="J65" i="57"/>
  <c r="B65" i="57"/>
  <c r="E62" i="57"/>
  <c r="D62" i="57"/>
  <c r="C62" i="57"/>
  <c r="B62" i="57"/>
  <c r="AA60" i="57"/>
  <c r="W60" i="57"/>
  <c r="U60" i="57"/>
  <c r="P60" i="57"/>
  <c r="N60" i="57"/>
  <c r="I60" i="57"/>
  <c r="G60" i="57"/>
  <c r="B60" i="57"/>
  <c r="AA59" i="57"/>
  <c r="W59" i="57"/>
  <c r="U59" i="57"/>
  <c r="P59" i="57"/>
  <c r="N59" i="57"/>
  <c r="I59" i="57"/>
  <c r="G59" i="57"/>
  <c r="B59" i="57"/>
  <c r="AA58" i="57"/>
  <c r="W58" i="57"/>
  <c r="U58" i="57"/>
  <c r="P58" i="57"/>
  <c r="N58" i="57"/>
  <c r="I58" i="57"/>
  <c r="G58" i="57"/>
  <c r="B58" i="57"/>
  <c r="AA57" i="57"/>
  <c r="W57" i="57"/>
  <c r="U57" i="57"/>
  <c r="P57" i="57"/>
  <c r="N57" i="57"/>
  <c r="I57" i="57"/>
  <c r="G57" i="57"/>
  <c r="B57" i="57"/>
  <c r="AA56" i="57"/>
  <c r="W56" i="57"/>
  <c r="U56" i="57"/>
  <c r="P56" i="57"/>
  <c r="N56" i="57"/>
  <c r="I56" i="57"/>
  <c r="G56" i="57"/>
  <c r="B56" i="57"/>
  <c r="AA55" i="57"/>
  <c r="W55" i="57"/>
  <c r="U55" i="57"/>
  <c r="P55" i="57"/>
  <c r="N55" i="57"/>
  <c r="I55" i="57"/>
  <c r="G55" i="57"/>
  <c r="B55" i="57"/>
  <c r="AA54" i="57"/>
  <c r="W54" i="57"/>
  <c r="U54" i="57"/>
  <c r="P54" i="57"/>
  <c r="N54" i="57"/>
  <c r="I54" i="57"/>
  <c r="G54" i="57"/>
  <c r="B54" i="57"/>
  <c r="AA53" i="57"/>
  <c r="W53" i="57"/>
  <c r="U53" i="57"/>
  <c r="P53" i="57"/>
  <c r="N53" i="57"/>
  <c r="I53" i="57"/>
  <c r="G53" i="57"/>
  <c r="B53" i="57"/>
  <c r="AA52" i="57"/>
  <c r="W52" i="57"/>
  <c r="U52" i="57"/>
  <c r="P52" i="57"/>
  <c r="N52" i="57"/>
  <c r="I52" i="57"/>
  <c r="G52" i="57"/>
  <c r="B52" i="57"/>
  <c r="AA51" i="57"/>
  <c r="W51" i="57"/>
  <c r="U51" i="57"/>
  <c r="P51" i="57"/>
  <c r="N51" i="57"/>
  <c r="I51" i="57"/>
  <c r="G51" i="57"/>
  <c r="B51" i="57"/>
  <c r="AA50" i="57"/>
  <c r="W50" i="57"/>
  <c r="U50" i="57"/>
  <c r="P50" i="57"/>
  <c r="N50" i="57"/>
  <c r="I50" i="57"/>
  <c r="G50" i="57"/>
  <c r="B50" i="57"/>
  <c r="AA49" i="57"/>
  <c r="W49" i="57"/>
  <c r="U49" i="57"/>
  <c r="P49" i="57"/>
  <c r="N49" i="57"/>
  <c r="I49" i="57"/>
  <c r="G49" i="57"/>
  <c r="B49" i="57"/>
  <c r="AA48" i="57"/>
  <c r="W48" i="57"/>
  <c r="U48" i="57"/>
  <c r="P48" i="57"/>
  <c r="N48" i="57"/>
  <c r="I48" i="57"/>
  <c r="G48" i="57"/>
  <c r="B48" i="57"/>
  <c r="B43" i="57"/>
  <c r="B42" i="57"/>
  <c r="B41" i="57"/>
  <c r="B40" i="57"/>
  <c r="B39" i="57"/>
  <c r="V23" i="57"/>
  <c r="R23" i="57"/>
  <c r="Q23" i="57"/>
  <c r="O23" i="57"/>
  <c r="J23" i="57"/>
  <c r="H23" i="57"/>
  <c r="G23" i="57"/>
  <c r="B23" i="57"/>
  <c r="V22" i="57"/>
  <c r="R22" i="57"/>
  <c r="O22" i="57"/>
  <c r="K22" i="57"/>
  <c r="H22" i="57"/>
  <c r="B22" i="57"/>
  <c r="V21" i="57"/>
  <c r="R21" i="57"/>
  <c r="O21" i="57"/>
  <c r="H21" i="57"/>
  <c r="B21" i="57"/>
  <c r="V20" i="57"/>
  <c r="R20" i="57"/>
  <c r="O20" i="57"/>
  <c r="H20" i="57"/>
  <c r="B20" i="57"/>
  <c r="V19" i="57"/>
  <c r="R19" i="57"/>
  <c r="O19" i="57"/>
  <c r="H19" i="57"/>
  <c r="V18" i="57"/>
  <c r="R18" i="57"/>
  <c r="O18" i="57"/>
  <c r="H18" i="57"/>
  <c r="B18" i="57"/>
  <c r="L15" i="57"/>
  <c r="V7" i="57"/>
  <c r="R3" i="57"/>
  <c r="M3" i="57"/>
  <c r="I3" i="57"/>
  <c r="D3" i="57"/>
  <c r="R2" i="57"/>
  <c r="I2" i="57"/>
  <c r="D2" i="57"/>
  <c r="I1" i="57"/>
  <c r="B153" i="57"/>
  <c r="B152" i="57"/>
  <c r="B151" i="57"/>
  <c r="B150" i="57"/>
  <c r="B149" i="57"/>
  <c r="W16" i="57"/>
  <c r="W15" i="57"/>
  <c r="W14" i="57"/>
  <c r="W13" i="57"/>
  <c r="W10" i="57"/>
  <c r="W7" i="57"/>
  <c r="W6" i="57"/>
  <c r="I6" i="8"/>
  <c r="I91" i="3"/>
  <c r="I98" i="3"/>
  <c r="I82" i="3"/>
  <c r="I89" i="3"/>
  <c r="I73" i="3"/>
  <c r="I80" i="3"/>
  <c r="I63" i="3"/>
  <c r="I71" i="3"/>
  <c r="I53" i="3"/>
  <c r="I54" i="3"/>
  <c r="I61" i="3"/>
  <c r="I45" i="3"/>
  <c r="I19" i="3"/>
  <c r="I20" i="3"/>
  <c r="I2" i="3" s="1"/>
  <c r="I21" i="3"/>
  <c r="I3" i="3" s="1"/>
  <c r="I12" i="3" s="1"/>
  <c r="G6" i="57" s="1"/>
  <c r="I22" i="3"/>
  <c r="I4" i="3" s="1"/>
  <c r="I13" i="3" s="1"/>
  <c r="D7" i="57" s="1"/>
  <c r="I23" i="3"/>
  <c r="I5" i="3" s="1"/>
  <c r="I14" i="3" s="1"/>
  <c r="I52" i="4" s="1"/>
  <c r="F29" i="57" s="1"/>
  <c r="I24" i="3"/>
  <c r="I6" i="3" s="1"/>
  <c r="I15" i="3" s="1"/>
  <c r="I64" i="4" s="1"/>
  <c r="T27" i="57" s="1"/>
  <c r="I25" i="3"/>
  <c r="I7" i="3" s="1"/>
  <c r="I16" i="3" s="1"/>
  <c r="I53" i="4" s="1"/>
  <c r="F30" i="57" s="1"/>
  <c r="S7" i="1"/>
  <c r="T7" i="1"/>
  <c r="U7" i="1"/>
  <c r="S8" i="1"/>
  <c r="T8" i="1"/>
  <c r="U8" i="1"/>
  <c r="S9" i="1"/>
  <c r="T9" i="1"/>
  <c r="U9" i="1"/>
  <c r="S11" i="1"/>
  <c r="T11" i="1"/>
  <c r="U11" i="1"/>
  <c r="S13" i="1"/>
  <c r="T13" i="1"/>
  <c r="U13" i="1"/>
  <c r="I29" i="3"/>
  <c r="I28" i="3"/>
  <c r="I43" i="3"/>
  <c r="I10" i="3"/>
  <c r="I1" i="1"/>
  <c r="B279" i="12"/>
  <c r="C279" i="12"/>
  <c r="D279" i="12"/>
  <c r="E279" i="12"/>
  <c r="F279" i="12"/>
  <c r="G279" i="12"/>
  <c r="H279" i="12"/>
  <c r="B280" i="12"/>
  <c r="C280" i="12"/>
  <c r="D280" i="12"/>
  <c r="E280" i="12"/>
  <c r="F280" i="12"/>
  <c r="G280" i="12"/>
  <c r="H280" i="12"/>
  <c r="B281" i="12"/>
  <c r="C281" i="12"/>
  <c r="D281" i="12"/>
  <c r="E281" i="12"/>
  <c r="F281" i="12"/>
  <c r="G281" i="12"/>
  <c r="H281" i="12"/>
  <c r="B282" i="12"/>
  <c r="C282" i="12"/>
  <c r="D282" i="12"/>
  <c r="E282" i="12"/>
  <c r="F282" i="12"/>
  <c r="G282" i="12"/>
  <c r="H282" i="12"/>
  <c r="B283" i="12"/>
  <c r="C283" i="12"/>
  <c r="D283" i="12"/>
  <c r="E283" i="12"/>
  <c r="F283" i="12"/>
  <c r="G283" i="12"/>
  <c r="H283" i="12"/>
  <c r="B284" i="12"/>
  <c r="C284" i="12"/>
  <c r="D284" i="12"/>
  <c r="E284" i="12"/>
  <c r="F284" i="12"/>
  <c r="G284" i="12"/>
  <c r="H284" i="12"/>
  <c r="B285" i="12"/>
  <c r="C285" i="12"/>
  <c r="D285" i="12"/>
  <c r="E285" i="12"/>
  <c r="F285" i="12"/>
  <c r="G285" i="12"/>
  <c r="H285" i="12"/>
  <c r="B286" i="12"/>
  <c r="H57" i="46" s="1"/>
  <c r="C286" i="12"/>
  <c r="D286" i="12"/>
  <c r="H57" i="56" s="1"/>
  <c r="E286" i="12"/>
  <c r="H57" i="52" s="1"/>
  <c r="F286" i="12"/>
  <c r="H57" i="53" s="1"/>
  <c r="G286" i="12"/>
  <c r="H57" i="54" s="1"/>
  <c r="H286" i="12"/>
  <c r="C287" i="12"/>
  <c r="H58" i="51" s="1"/>
  <c r="D287" i="12"/>
  <c r="H58" i="56" s="1"/>
  <c r="E287" i="12"/>
  <c r="H58" i="52" s="1"/>
  <c r="F287" i="12"/>
  <c r="H58" i="53" s="1"/>
  <c r="G287" i="12"/>
  <c r="H58" i="54" s="1"/>
  <c r="H287" i="12"/>
  <c r="H58" i="55" s="1"/>
  <c r="B288" i="12"/>
  <c r="H59" i="46" s="1"/>
  <c r="C288" i="12"/>
  <c r="H59" i="51" s="1"/>
  <c r="D288" i="12"/>
  <c r="H59" i="56" s="1"/>
  <c r="E288" i="12"/>
  <c r="H59" i="52" s="1"/>
  <c r="F288" i="12"/>
  <c r="G288" i="12"/>
  <c r="H59" i="54" s="1"/>
  <c r="H288" i="12"/>
  <c r="H59" i="55" s="1"/>
  <c r="B289" i="12"/>
  <c r="H60" i="46" s="1"/>
  <c r="C289" i="12"/>
  <c r="H60" i="51" s="1"/>
  <c r="D289" i="12"/>
  <c r="H60" i="56" s="1"/>
  <c r="E289" i="12"/>
  <c r="F289" i="12"/>
  <c r="H60" i="53" s="1"/>
  <c r="H289" i="12"/>
  <c r="H60" i="55" s="1"/>
  <c r="B290" i="12"/>
  <c r="O48" i="46" s="1"/>
  <c r="C290" i="12"/>
  <c r="F290" i="12"/>
  <c r="O48" i="53" s="1"/>
  <c r="G290" i="12"/>
  <c r="H290" i="12"/>
  <c r="B291" i="12"/>
  <c r="O49" i="46" s="1"/>
  <c r="C291" i="12"/>
  <c r="O49" i="51" s="1"/>
  <c r="D291" i="12"/>
  <c r="O49" i="56" s="1"/>
  <c r="E291" i="12"/>
  <c r="F291" i="12"/>
  <c r="O49" i="53" s="1"/>
  <c r="G291" i="12"/>
  <c r="O49" i="54" s="1"/>
  <c r="H291" i="12"/>
  <c r="O49" i="55" s="1"/>
  <c r="B292" i="12"/>
  <c r="C292" i="12"/>
  <c r="O50" i="51" s="1"/>
  <c r="D292" i="12"/>
  <c r="O50" i="56" s="1"/>
  <c r="E292" i="12"/>
  <c r="F292" i="12"/>
  <c r="G292" i="12"/>
  <c r="O50" i="54" s="1"/>
  <c r="B293" i="12"/>
  <c r="O51" i="46" s="1"/>
  <c r="C293" i="12"/>
  <c r="D293" i="12"/>
  <c r="O51" i="56" s="1"/>
  <c r="E293" i="12"/>
  <c r="O51" i="52" s="1"/>
  <c r="F293" i="12"/>
  <c r="G293" i="12"/>
  <c r="H293" i="12"/>
  <c r="O51" i="55" s="1"/>
  <c r="B294" i="12"/>
  <c r="C294" i="12"/>
  <c r="O52" i="51" s="1"/>
  <c r="D294" i="12"/>
  <c r="E294" i="12"/>
  <c r="O52" i="52" s="1"/>
  <c r="F294" i="12"/>
  <c r="O52" i="53" s="1"/>
  <c r="G294" i="12"/>
  <c r="H294" i="12"/>
  <c r="B295" i="12"/>
  <c r="C295" i="12"/>
  <c r="O53" i="51" s="1"/>
  <c r="D295" i="12"/>
  <c r="E295" i="12"/>
  <c r="O53" i="52" s="1"/>
  <c r="F295" i="12"/>
  <c r="G295" i="12"/>
  <c r="O53" i="54" s="1"/>
  <c r="H295" i="12"/>
  <c r="B296" i="12"/>
  <c r="O54" i="46" s="1"/>
  <c r="C296" i="12"/>
  <c r="O54" i="51" s="1"/>
  <c r="D296" i="12"/>
  <c r="E296" i="12"/>
  <c r="F296" i="12"/>
  <c r="G296" i="12"/>
  <c r="H296" i="12"/>
  <c r="O54" i="55" s="1"/>
  <c r="B297" i="12"/>
  <c r="O55" i="46" s="1"/>
  <c r="C297" i="12"/>
  <c r="O55" i="51" s="1"/>
  <c r="D297" i="12"/>
  <c r="E297" i="12"/>
  <c r="O55" i="52" s="1"/>
  <c r="F297" i="12"/>
  <c r="O55" i="53" s="1"/>
  <c r="G297" i="12"/>
  <c r="H297" i="12"/>
  <c r="O55" i="55" s="1"/>
  <c r="B298" i="12"/>
  <c r="C298" i="12"/>
  <c r="O56" i="51" s="1"/>
  <c r="D298" i="12"/>
  <c r="E298" i="12"/>
  <c r="O56" i="52" s="1"/>
  <c r="F298" i="12"/>
  <c r="G298" i="12"/>
  <c r="O56" i="54" s="1"/>
  <c r="B299" i="12"/>
  <c r="O57" i="46" s="1"/>
  <c r="C299" i="12"/>
  <c r="O57" i="51" s="1"/>
  <c r="D299" i="12"/>
  <c r="O57" i="56" s="1"/>
  <c r="E299" i="12"/>
  <c r="O57" i="52" s="1"/>
  <c r="F299" i="12"/>
  <c r="O57" i="53" s="1"/>
  <c r="G299" i="12"/>
  <c r="O57" i="54" s="1"/>
  <c r="O57" i="55"/>
  <c r="B300" i="12"/>
  <c r="O58" i="46" s="1"/>
  <c r="C300" i="12"/>
  <c r="D300" i="12"/>
  <c r="O58" i="56" s="1"/>
  <c r="E300" i="12"/>
  <c r="O58" i="52" s="1"/>
  <c r="F300" i="12"/>
  <c r="O58" i="53" s="1"/>
  <c r="G300" i="12"/>
  <c r="O58" i="54" s="1"/>
  <c r="O58" i="55"/>
  <c r="B301" i="12"/>
  <c r="O59" i="46" s="1"/>
  <c r="C301" i="12"/>
  <c r="D301" i="12"/>
  <c r="O59" i="56" s="1"/>
  <c r="E301" i="12"/>
  <c r="O59" i="52" s="1"/>
  <c r="F301" i="12"/>
  <c r="O59" i="53" s="1"/>
  <c r="G301" i="12"/>
  <c r="O59" i="54" s="1"/>
  <c r="O59" i="55"/>
  <c r="B302" i="12"/>
  <c r="O60" i="46" s="1"/>
  <c r="C302" i="12"/>
  <c r="O60" i="51" s="1"/>
  <c r="D302" i="12"/>
  <c r="O60" i="56" s="1"/>
  <c r="E302" i="12"/>
  <c r="O60" i="52" s="1"/>
  <c r="F302" i="12"/>
  <c r="O60" i="53" s="1"/>
  <c r="G302" i="12"/>
  <c r="O60" i="54" s="1"/>
  <c r="O60" i="55"/>
  <c r="B303" i="12"/>
  <c r="V48" i="46" s="1"/>
  <c r="C303" i="12"/>
  <c r="V48" i="51" s="1"/>
  <c r="D303" i="12"/>
  <c r="V48" i="56" s="1"/>
  <c r="E303" i="12"/>
  <c r="V48" i="52" s="1"/>
  <c r="F303" i="12"/>
  <c r="V48" i="53" s="1"/>
  <c r="G303" i="12"/>
  <c r="V48" i="54" s="1"/>
  <c r="V48" i="55"/>
  <c r="B304" i="12"/>
  <c r="V49" i="46" s="1"/>
  <c r="C304" i="12"/>
  <c r="V49" i="51" s="1"/>
  <c r="D304" i="12"/>
  <c r="V49" i="56" s="1"/>
  <c r="E304" i="12"/>
  <c r="V49" i="52" s="1"/>
  <c r="F304" i="12"/>
  <c r="V49" i="53" s="1"/>
  <c r="G304" i="12"/>
  <c r="V49" i="54" s="1"/>
  <c r="B305" i="12"/>
  <c r="V50" i="46" s="1"/>
  <c r="C305" i="12"/>
  <c r="V50" i="51" s="1"/>
  <c r="D305" i="12"/>
  <c r="V50" i="56" s="1"/>
  <c r="E305" i="12"/>
  <c r="V50" i="52" s="1"/>
  <c r="F305" i="12"/>
  <c r="V50" i="53" s="1"/>
  <c r="G305" i="12"/>
  <c r="V50" i="54" s="1"/>
  <c r="V50" i="55"/>
  <c r="B306" i="12"/>
  <c r="V51" i="46" s="1"/>
  <c r="C306" i="12"/>
  <c r="V51" i="51" s="1"/>
  <c r="D306" i="12"/>
  <c r="V51" i="56" s="1"/>
  <c r="E306" i="12"/>
  <c r="V51" i="52" s="1"/>
  <c r="F306" i="12"/>
  <c r="V51" i="53" s="1"/>
  <c r="G306" i="12"/>
  <c r="V51" i="54" s="1"/>
  <c r="B307" i="12"/>
  <c r="V52" i="46" s="1"/>
  <c r="C307" i="12"/>
  <c r="V52" i="51" s="1"/>
  <c r="D307" i="12"/>
  <c r="V52" i="56" s="1"/>
  <c r="E307" i="12"/>
  <c r="V52" i="52" s="1"/>
  <c r="F307" i="12"/>
  <c r="V52" i="53" s="1"/>
  <c r="G307" i="12"/>
  <c r="V52" i="54" s="1"/>
  <c r="V52" i="55"/>
  <c r="B308" i="12"/>
  <c r="V53" i="46" s="1"/>
  <c r="C308" i="12"/>
  <c r="V53" i="51" s="1"/>
  <c r="D308" i="12"/>
  <c r="V53" i="56" s="1"/>
  <c r="E308" i="12"/>
  <c r="V53" i="52" s="1"/>
  <c r="F308" i="12"/>
  <c r="V53" i="53" s="1"/>
  <c r="G308" i="12"/>
  <c r="V53" i="54" s="1"/>
  <c r="V53" i="55"/>
  <c r="B309" i="12"/>
  <c r="V54" i="46" s="1"/>
  <c r="C309" i="12"/>
  <c r="V54" i="51" s="1"/>
  <c r="D309" i="12"/>
  <c r="V54" i="56" s="1"/>
  <c r="E309" i="12"/>
  <c r="V54" i="52" s="1"/>
  <c r="F309" i="12"/>
  <c r="V54" i="53" s="1"/>
  <c r="G309" i="12"/>
  <c r="V54" i="54" s="1"/>
  <c r="V54" i="55"/>
  <c r="B310" i="12"/>
  <c r="V55" i="46" s="1"/>
  <c r="C310" i="12"/>
  <c r="V55" i="51" s="1"/>
  <c r="D310" i="12"/>
  <c r="V55" i="56" s="1"/>
  <c r="E310" i="12"/>
  <c r="V55" i="52" s="1"/>
  <c r="F310" i="12"/>
  <c r="V55" i="53" s="1"/>
  <c r="G310" i="12"/>
  <c r="V55" i="54" s="1"/>
  <c r="B311" i="12"/>
  <c r="V56" i="46" s="1"/>
  <c r="C311" i="12"/>
  <c r="V56" i="51" s="1"/>
  <c r="D311" i="12"/>
  <c r="V56" i="56" s="1"/>
  <c r="E311" i="12"/>
  <c r="V56" i="52" s="1"/>
  <c r="F311" i="12"/>
  <c r="V56" i="53" s="1"/>
  <c r="G311" i="12"/>
  <c r="V56" i="54" s="1"/>
  <c r="V56" i="55"/>
  <c r="B312" i="12"/>
  <c r="V57" i="46" s="1"/>
  <c r="C312" i="12"/>
  <c r="V57" i="51" s="1"/>
  <c r="D312" i="12"/>
  <c r="V57" i="56" s="1"/>
  <c r="E312" i="12"/>
  <c r="V57" i="52" s="1"/>
  <c r="F312" i="12"/>
  <c r="V57" i="53" s="1"/>
  <c r="G312" i="12"/>
  <c r="V57" i="54" s="1"/>
  <c r="H312" i="12"/>
  <c r="V57" i="55" s="1"/>
  <c r="B313" i="12"/>
  <c r="V58" i="46" s="1"/>
  <c r="C313" i="12"/>
  <c r="V58" i="51" s="1"/>
  <c r="D313" i="12"/>
  <c r="V58" i="56" s="1"/>
  <c r="E313" i="12"/>
  <c r="V58" i="52" s="1"/>
  <c r="F313" i="12"/>
  <c r="V58" i="53" s="1"/>
  <c r="G313" i="12"/>
  <c r="V58" i="54" s="1"/>
  <c r="H313" i="12"/>
  <c r="V58" i="55" s="1"/>
  <c r="B314" i="12"/>
  <c r="V59" i="46" s="1"/>
  <c r="C314" i="12"/>
  <c r="V59" i="51" s="1"/>
  <c r="D314" i="12"/>
  <c r="V59" i="56" s="1"/>
  <c r="E314" i="12"/>
  <c r="V59" i="52" s="1"/>
  <c r="F314" i="12"/>
  <c r="V59" i="53" s="1"/>
  <c r="G314" i="12"/>
  <c r="V59" i="54" s="1"/>
  <c r="H314" i="12"/>
  <c r="V59" i="55" s="1"/>
  <c r="B315" i="12"/>
  <c r="V60" i="46" s="1"/>
  <c r="C315" i="12"/>
  <c r="V60" i="51" s="1"/>
  <c r="D315" i="12"/>
  <c r="V60" i="56" s="1"/>
  <c r="E315" i="12"/>
  <c r="V60" i="52" s="1"/>
  <c r="F315" i="12"/>
  <c r="V60" i="53" s="1"/>
  <c r="G315" i="12"/>
  <c r="V60" i="54" s="1"/>
  <c r="H315" i="12"/>
  <c r="V60" i="55" s="1"/>
  <c r="B316" i="12"/>
  <c r="AB48" i="46" s="1"/>
  <c r="C316" i="12"/>
  <c r="AB48" i="51" s="1"/>
  <c r="D316" i="12"/>
  <c r="AB48" i="56" s="1"/>
  <c r="E316" i="12"/>
  <c r="AB48" i="52" s="1"/>
  <c r="F316" i="12"/>
  <c r="AB48" i="53" s="1"/>
  <c r="G316" i="12"/>
  <c r="AB48" i="54" s="1"/>
  <c r="H316" i="12"/>
  <c r="AB48" i="55" s="1"/>
  <c r="B317" i="12"/>
  <c r="AB49" i="46" s="1"/>
  <c r="C317" i="12"/>
  <c r="AB49" i="51" s="1"/>
  <c r="D317" i="12"/>
  <c r="AB49" i="56" s="1"/>
  <c r="E317" i="12"/>
  <c r="AB49" i="52" s="1"/>
  <c r="F317" i="12"/>
  <c r="AB49" i="53" s="1"/>
  <c r="G317" i="12"/>
  <c r="AB49" i="54" s="1"/>
  <c r="H317" i="12"/>
  <c r="AB49" i="55" s="1"/>
  <c r="B318" i="12"/>
  <c r="AB50" i="46" s="1"/>
  <c r="C318" i="12"/>
  <c r="AB50" i="51" s="1"/>
  <c r="D318" i="12"/>
  <c r="AB50" i="56" s="1"/>
  <c r="E318" i="12"/>
  <c r="AB50" i="52" s="1"/>
  <c r="F318" i="12"/>
  <c r="AB50" i="53" s="1"/>
  <c r="G318" i="12"/>
  <c r="AB50" i="54" s="1"/>
  <c r="H318" i="12"/>
  <c r="AB50" i="55" s="1"/>
  <c r="B319" i="12"/>
  <c r="AB51" i="46" s="1"/>
  <c r="C319" i="12"/>
  <c r="AB51" i="51" s="1"/>
  <c r="D319" i="12"/>
  <c r="AB51" i="56" s="1"/>
  <c r="E319" i="12"/>
  <c r="AB51" i="52" s="1"/>
  <c r="F319" i="12"/>
  <c r="AB51" i="53" s="1"/>
  <c r="G319" i="12"/>
  <c r="AB51" i="54" s="1"/>
  <c r="H319" i="12"/>
  <c r="AB51" i="55" s="1"/>
  <c r="B320" i="12"/>
  <c r="AB52" i="46" s="1"/>
  <c r="C320" i="12"/>
  <c r="AB52" i="51" s="1"/>
  <c r="D320" i="12"/>
  <c r="AB52" i="56" s="1"/>
  <c r="E320" i="12"/>
  <c r="AB52" i="52" s="1"/>
  <c r="F320" i="12"/>
  <c r="AB52" i="53" s="1"/>
  <c r="G320" i="12"/>
  <c r="AB52" i="54" s="1"/>
  <c r="H320" i="12"/>
  <c r="AB52" i="55" s="1"/>
  <c r="B321" i="12"/>
  <c r="AB53" i="46" s="1"/>
  <c r="C321" i="12"/>
  <c r="AB53" i="51" s="1"/>
  <c r="D321" i="12"/>
  <c r="AB53" i="56" s="1"/>
  <c r="E321" i="12"/>
  <c r="AB53" i="52" s="1"/>
  <c r="F321" i="12"/>
  <c r="AB53" i="53" s="1"/>
  <c r="G321" i="12"/>
  <c r="AB53" i="54" s="1"/>
  <c r="H321" i="12"/>
  <c r="AB53" i="55" s="1"/>
  <c r="B322" i="12"/>
  <c r="AB54" i="46" s="1"/>
  <c r="C322" i="12"/>
  <c r="AB54" i="51" s="1"/>
  <c r="D322" i="12"/>
  <c r="AB54" i="56" s="1"/>
  <c r="E322" i="12"/>
  <c r="AB54" i="52" s="1"/>
  <c r="F322" i="12"/>
  <c r="AB54" i="53" s="1"/>
  <c r="G322" i="12"/>
  <c r="AB54" i="54" s="1"/>
  <c r="H322" i="12"/>
  <c r="AB54" i="55" s="1"/>
  <c r="B323" i="12"/>
  <c r="AB55" i="46" s="1"/>
  <c r="C323" i="12"/>
  <c r="AB55" i="51" s="1"/>
  <c r="D323" i="12"/>
  <c r="AB55" i="56" s="1"/>
  <c r="E323" i="12"/>
  <c r="AB55" i="52" s="1"/>
  <c r="F323" i="12"/>
  <c r="AB55" i="53" s="1"/>
  <c r="G323" i="12"/>
  <c r="AB55" i="54" s="1"/>
  <c r="H323" i="12"/>
  <c r="AB55" i="55" s="1"/>
  <c r="B324" i="12"/>
  <c r="AB56" i="46" s="1"/>
  <c r="C324" i="12"/>
  <c r="AB56" i="51" s="1"/>
  <c r="D324" i="12"/>
  <c r="AB56" i="56" s="1"/>
  <c r="E324" i="12"/>
  <c r="AB56" i="52" s="1"/>
  <c r="F324" i="12"/>
  <c r="AB56" i="53" s="1"/>
  <c r="G324" i="12"/>
  <c r="AB56" i="54" s="1"/>
  <c r="H324" i="12"/>
  <c r="AB56" i="55" s="1"/>
  <c r="B325" i="12"/>
  <c r="AB57" i="46" s="1"/>
  <c r="C325" i="12"/>
  <c r="AB57" i="51" s="1"/>
  <c r="D325" i="12"/>
  <c r="AB57" i="56" s="1"/>
  <c r="E325" i="12"/>
  <c r="AB57" i="52" s="1"/>
  <c r="F325" i="12"/>
  <c r="AB57" i="53" s="1"/>
  <c r="G325" i="12"/>
  <c r="AB57" i="54" s="1"/>
  <c r="H325" i="12"/>
  <c r="AB57" i="55" s="1"/>
  <c r="B326" i="12"/>
  <c r="AB58" i="46" s="1"/>
  <c r="C326" i="12"/>
  <c r="AB58" i="51" s="1"/>
  <c r="D326" i="12"/>
  <c r="AB58" i="56" s="1"/>
  <c r="E326" i="12"/>
  <c r="AB58" i="52" s="1"/>
  <c r="F326" i="12"/>
  <c r="AB58" i="53" s="1"/>
  <c r="G326" i="12"/>
  <c r="AB58" i="54" s="1"/>
  <c r="H326" i="12"/>
  <c r="AB58" i="55" s="1"/>
  <c r="B327" i="12"/>
  <c r="AB59" i="46" s="1"/>
  <c r="C327" i="12"/>
  <c r="AB59" i="51" s="1"/>
  <c r="D327" i="12"/>
  <c r="AB59" i="56" s="1"/>
  <c r="E327" i="12"/>
  <c r="AB59" i="52" s="1"/>
  <c r="F327" i="12"/>
  <c r="AB59" i="53" s="1"/>
  <c r="G327" i="12"/>
  <c r="AB59" i="54" s="1"/>
  <c r="H327" i="12"/>
  <c r="AB59" i="55" s="1"/>
  <c r="B328" i="12"/>
  <c r="AB60" i="46" s="1"/>
  <c r="C328" i="12"/>
  <c r="AB60" i="51" s="1"/>
  <c r="D328" i="12"/>
  <c r="AB60" i="56" s="1"/>
  <c r="E328" i="12"/>
  <c r="AB60" i="52" s="1"/>
  <c r="F328" i="12"/>
  <c r="AB60" i="53" s="1"/>
  <c r="G328" i="12"/>
  <c r="AB60" i="54" s="1"/>
  <c r="H328" i="12"/>
  <c r="AB60" i="55" s="1"/>
  <c r="C278" i="12"/>
  <c r="D278" i="12"/>
  <c r="E278" i="12"/>
  <c r="F278" i="12"/>
  <c r="G278" i="12"/>
  <c r="H278" i="12"/>
  <c r="B278" i="12"/>
  <c r="H168" i="12"/>
  <c r="D168" i="12"/>
  <c r="E168" i="12"/>
  <c r="F168" i="12"/>
  <c r="G168" i="12"/>
  <c r="C168" i="12"/>
  <c r="B168" i="12"/>
  <c r="B145" i="55"/>
  <c r="B145" i="54"/>
  <c r="B145" i="53"/>
  <c r="B145" i="52"/>
  <c r="B145" i="56"/>
  <c r="B145" i="51"/>
  <c r="B145" i="46"/>
  <c r="B227" i="12"/>
  <c r="H54" i="46" s="1"/>
  <c r="C227" i="12"/>
  <c r="H54" i="51" s="1"/>
  <c r="D227" i="12"/>
  <c r="H54" i="56" s="1"/>
  <c r="E227" i="12"/>
  <c r="H54" i="52" s="1"/>
  <c r="F227" i="12"/>
  <c r="H54" i="53" s="1"/>
  <c r="G227" i="12"/>
  <c r="H54" i="54" s="1"/>
  <c r="H227" i="12"/>
  <c r="H54" i="55" s="1"/>
  <c r="B228" i="12"/>
  <c r="H55" i="46" s="1"/>
  <c r="C228" i="12"/>
  <c r="H55" i="51" s="1"/>
  <c r="D228" i="12"/>
  <c r="H55" i="56" s="1"/>
  <c r="E228" i="12"/>
  <c r="H55" i="52" s="1"/>
  <c r="F228" i="12"/>
  <c r="H55" i="53" s="1"/>
  <c r="G228" i="12"/>
  <c r="H55" i="54" s="1"/>
  <c r="H228" i="12"/>
  <c r="H55" i="55" s="1"/>
  <c r="B229" i="12"/>
  <c r="H56" i="46" s="1"/>
  <c r="C229" i="12"/>
  <c r="H56" i="51" s="1"/>
  <c r="D229" i="12"/>
  <c r="H56" i="56" s="1"/>
  <c r="E229" i="12"/>
  <c r="H56" i="52" s="1"/>
  <c r="F229" i="12"/>
  <c r="H56" i="53" s="1"/>
  <c r="G229" i="12"/>
  <c r="H56" i="54" s="1"/>
  <c r="H229" i="12"/>
  <c r="H56" i="55" s="1"/>
  <c r="B230" i="12"/>
  <c r="C230" i="12"/>
  <c r="D230" i="12"/>
  <c r="E230" i="12"/>
  <c r="F230" i="12"/>
  <c r="G230" i="12"/>
  <c r="H230" i="12"/>
  <c r="H57" i="55" s="1"/>
  <c r="B231" i="12"/>
  <c r="C231" i="12"/>
  <c r="D231" i="12"/>
  <c r="E231" i="12"/>
  <c r="F231" i="12"/>
  <c r="G231" i="12"/>
  <c r="H231" i="12"/>
  <c r="B232" i="12"/>
  <c r="C232" i="12"/>
  <c r="D232" i="12"/>
  <c r="E232" i="12"/>
  <c r="F232" i="12"/>
  <c r="H59" i="53" s="1"/>
  <c r="G232" i="12"/>
  <c r="H232" i="12"/>
  <c r="B233" i="12"/>
  <c r="C233" i="12"/>
  <c r="D233" i="12"/>
  <c r="E233" i="12"/>
  <c r="H60" i="52" s="1"/>
  <c r="F233" i="12"/>
  <c r="G233" i="12"/>
  <c r="H233" i="12"/>
  <c r="B234" i="12"/>
  <c r="C234" i="12"/>
  <c r="O48" i="51" s="1"/>
  <c r="D234" i="12"/>
  <c r="E234" i="12"/>
  <c r="F234" i="12"/>
  <c r="G234" i="12"/>
  <c r="O48" i="54" s="1"/>
  <c r="H234" i="12"/>
  <c r="O48" i="55" s="1"/>
  <c r="B235" i="12"/>
  <c r="C235" i="12"/>
  <c r="D235" i="12"/>
  <c r="E235" i="12"/>
  <c r="O49" i="52" s="1"/>
  <c r="F235" i="12"/>
  <c r="G235" i="12"/>
  <c r="H235" i="12"/>
  <c r="B236" i="12"/>
  <c r="C236" i="12"/>
  <c r="D236" i="12"/>
  <c r="E236" i="12"/>
  <c r="F236" i="12"/>
  <c r="O50" i="53" s="1"/>
  <c r="G236" i="12"/>
  <c r="H236" i="12"/>
  <c r="B237" i="12"/>
  <c r="C237" i="12"/>
  <c r="O51" i="51" s="1"/>
  <c r="D237" i="12"/>
  <c r="E237" i="12"/>
  <c r="F237" i="12"/>
  <c r="G237" i="12"/>
  <c r="H237" i="12"/>
  <c r="B238" i="12"/>
  <c r="C238" i="12"/>
  <c r="D238" i="12"/>
  <c r="E238" i="12"/>
  <c r="F238" i="12"/>
  <c r="G238" i="12"/>
  <c r="H238" i="12"/>
  <c r="O52" i="55" s="1"/>
  <c r="B239" i="12"/>
  <c r="C239" i="12"/>
  <c r="D239" i="12"/>
  <c r="E239" i="12"/>
  <c r="F239" i="12"/>
  <c r="O53" i="53" s="1"/>
  <c r="G239" i="12"/>
  <c r="H239" i="12"/>
  <c r="O53" i="55" s="1"/>
  <c r="B240" i="12"/>
  <c r="C240" i="12"/>
  <c r="D240" i="12"/>
  <c r="O54" i="56" s="1"/>
  <c r="E240" i="12"/>
  <c r="F240" i="12"/>
  <c r="G240" i="12"/>
  <c r="H240" i="12"/>
  <c r="B241" i="12"/>
  <c r="C241" i="12"/>
  <c r="D241" i="12"/>
  <c r="E241" i="12"/>
  <c r="G241" i="12"/>
  <c r="H241" i="12"/>
  <c r="B242" i="12"/>
  <c r="C242" i="12"/>
  <c r="D242" i="12"/>
  <c r="E242" i="12"/>
  <c r="F242" i="12"/>
  <c r="G242" i="12"/>
  <c r="B243" i="12"/>
  <c r="C243" i="12"/>
  <c r="D243" i="12"/>
  <c r="E243" i="12"/>
  <c r="F243" i="12"/>
  <c r="G243" i="12"/>
  <c r="B244" i="12"/>
  <c r="C244" i="12"/>
  <c r="D244" i="12"/>
  <c r="E244" i="12"/>
  <c r="F244" i="12"/>
  <c r="G244" i="12"/>
  <c r="B245" i="12"/>
  <c r="C245" i="12"/>
  <c r="D245" i="12"/>
  <c r="E245" i="12"/>
  <c r="F245" i="12"/>
  <c r="G245" i="12"/>
  <c r="B246" i="12"/>
  <c r="C246" i="12"/>
  <c r="D246" i="12"/>
  <c r="E246" i="12"/>
  <c r="F246" i="12"/>
  <c r="G246" i="12"/>
  <c r="B247" i="12"/>
  <c r="C247" i="12"/>
  <c r="D247" i="12"/>
  <c r="E247" i="12"/>
  <c r="F247" i="12"/>
  <c r="G247" i="12"/>
  <c r="B248" i="12"/>
  <c r="C248" i="12"/>
  <c r="D248" i="12"/>
  <c r="E248" i="12"/>
  <c r="F248" i="12"/>
  <c r="G248" i="12"/>
  <c r="B249" i="12"/>
  <c r="C249" i="12"/>
  <c r="D249" i="12"/>
  <c r="E249" i="12"/>
  <c r="F249" i="12"/>
  <c r="G249" i="12"/>
  <c r="B250" i="12"/>
  <c r="C250" i="12"/>
  <c r="D250" i="12"/>
  <c r="E250" i="12"/>
  <c r="F250" i="12"/>
  <c r="G250" i="12"/>
  <c r="B251" i="12"/>
  <c r="C251" i="12"/>
  <c r="D251" i="12"/>
  <c r="E251" i="12"/>
  <c r="F251" i="12"/>
  <c r="G251" i="12"/>
  <c r="B252" i="12"/>
  <c r="C252" i="12"/>
  <c r="D252" i="12"/>
  <c r="E252" i="12"/>
  <c r="F252" i="12"/>
  <c r="G252" i="12"/>
  <c r="B253" i="12"/>
  <c r="C253" i="12"/>
  <c r="D253" i="12"/>
  <c r="E253" i="12"/>
  <c r="F253" i="12"/>
  <c r="G253" i="12"/>
  <c r="B254" i="12"/>
  <c r="C254" i="12"/>
  <c r="D254" i="12"/>
  <c r="E254" i="12"/>
  <c r="F254" i="12"/>
  <c r="G254" i="12"/>
  <c r="H254" i="12"/>
  <c r="V55" i="55" s="1"/>
  <c r="B255" i="12"/>
  <c r="C255" i="12"/>
  <c r="D255" i="12"/>
  <c r="E255" i="12"/>
  <c r="F255" i="12"/>
  <c r="G255" i="12"/>
  <c r="H255" i="12"/>
  <c r="B256" i="12"/>
  <c r="C256" i="12"/>
  <c r="D256" i="12"/>
  <c r="E256" i="12"/>
  <c r="F256" i="12"/>
  <c r="G256" i="12"/>
  <c r="H256" i="12"/>
  <c r="B257" i="12"/>
  <c r="C257" i="12"/>
  <c r="D257" i="12"/>
  <c r="E257" i="12"/>
  <c r="F257" i="12"/>
  <c r="G257" i="12"/>
  <c r="H257" i="12"/>
  <c r="B258" i="12"/>
  <c r="C258" i="12"/>
  <c r="D258" i="12"/>
  <c r="E258" i="12"/>
  <c r="F258" i="12"/>
  <c r="G258" i="12"/>
  <c r="H258" i="12"/>
  <c r="B259" i="12"/>
  <c r="C259" i="12"/>
  <c r="D259" i="12"/>
  <c r="E259" i="12"/>
  <c r="F259" i="12"/>
  <c r="G259" i="12"/>
  <c r="H259" i="12"/>
  <c r="B260" i="12"/>
  <c r="C260" i="12"/>
  <c r="D260" i="12"/>
  <c r="E260" i="12"/>
  <c r="F260" i="12"/>
  <c r="G260" i="12"/>
  <c r="H260" i="12"/>
  <c r="B261" i="12"/>
  <c r="C261" i="12"/>
  <c r="D261" i="12"/>
  <c r="E261" i="12"/>
  <c r="F261" i="12"/>
  <c r="G261" i="12"/>
  <c r="H261" i="12"/>
  <c r="B262" i="12"/>
  <c r="C262" i="12"/>
  <c r="D262" i="12"/>
  <c r="E262" i="12"/>
  <c r="F262" i="12"/>
  <c r="G262" i="12"/>
  <c r="H262" i="12"/>
  <c r="B263" i="12"/>
  <c r="C263" i="12"/>
  <c r="D263" i="12"/>
  <c r="E263" i="12"/>
  <c r="F263" i="12"/>
  <c r="G263" i="12"/>
  <c r="H263" i="12"/>
  <c r="B264" i="12"/>
  <c r="C264" i="12"/>
  <c r="D264" i="12"/>
  <c r="E264" i="12"/>
  <c r="F264" i="12"/>
  <c r="G264" i="12"/>
  <c r="H264" i="12"/>
  <c r="B265" i="12"/>
  <c r="C265" i="12"/>
  <c r="D265" i="12"/>
  <c r="E265" i="12"/>
  <c r="F265" i="12"/>
  <c r="G265" i="12"/>
  <c r="H265" i="12"/>
  <c r="B266" i="12"/>
  <c r="C266" i="12"/>
  <c r="D266" i="12"/>
  <c r="E266" i="12"/>
  <c r="F266" i="12"/>
  <c r="G266" i="12"/>
  <c r="H266" i="12"/>
  <c r="B267" i="12"/>
  <c r="C267" i="12"/>
  <c r="D267" i="12"/>
  <c r="E267" i="12"/>
  <c r="F267" i="12"/>
  <c r="G267" i="12"/>
  <c r="H267" i="12"/>
  <c r="B268" i="12"/>
  <c r="C268" i="12"/>
  <c r="D268" i="12"/>
  <c r="E268" i="12"/>
  <c r="F268" i="12"/>
  <c r="G268" i="12"/>
  <c r="H268" i="12"/>
  <c r="B269" i="12"/>
  <c r="C269" i="12"/>
  <c r="D269" i="12"/>
  <c r="E269" i="12"/>
  <c r="F269" i="12"/>
  <c r="G269" i="12"/>
  <c r="H269" i="12"/>
  <c r="B270" i="12"/>
  <c r="C270" i="12"/>
  <c r="D270" i="12"/>
  <c r="E270" i="12"/>
  <c r="F270" i="12"/>
  <c r="G270" i="12"/>
  <c r="H270" i="12"/>
  <c r="B271" i="12"/>
  <c r="C271" i="12"/>
  <c r="D271" i="12"/>
  <c r="E271" i="12"/>
  <c r="F271" i="12"/>
  <c r="G271" i="12"/>
  <c r="H271" i="12"/>
  <c r="B272" i="12"/>
  <c r="C272" i="12"/>
  <c r="D272" i="12"/>
  <c r="E272" i="12"/>
  <c r="F272" i="12"/>
  <c r="G272" i="12"/>
  <c r="H272" i="12"/>
  <c r="C222" i="12"/>
  <c r="H49" i="51" s="1"/>
  <c r="D222" i="12"/>
  <c r="H49" i="56" s="1"/>
  <c r="E222" i="12"/>
  <c r="H49" i="52" s="1"/>
  <c r="F222" i="12"/>
  <c r="H49" i="53" s="1"/>
  <c r="G222" i="12"/>
  <c r="H49" i="54" s="1"/>
  <c r="H222" i="12"/>
  <c r="H49" i="55" s="1"/>
  <c r="C223" i="12"/>
  <c r="H50" i="51" s="1"/>
  <c r="D223" i="12"/>
  <c r="H50" i="56" s="1"/>
  <c r="E223" i="12"/>
  <c r="H50" i="52" s="1"/>
  <c r="F223" i="12"/>
  <c r="H50" i="53" s="1"/>
  <c r="G223" i="12"/>
  <c r="H50" i="54" s="1"/>
  <c r="H223" i="12"/>
  <c r="H50" i="55" s="1"/>
  <c r="C224" i="12"/>
  <c r="H51" i="51" s="1"/>
  <c r="D224" i="12"/>
  <c r="H51" i="56" s="1"/>
  <c r="E224" i="12"/>
  <c r="H51" i="52" s="1"/>
  <c r="F224" i="12"/>
  <c r="H51" i="53" s="1"/>
  <c r="G224" i="12"/>
  <c r="H51" i="54" s="1"/>
  <c r="H224" i="12"/>
  <c r="H51" i="55" s="1"/>
  <c r="C225" i="12"/>
  <c r="H52" i="51" s="1"/>
  <c r="D225" i="12"/>
  <c r="H52" i="56" s="1"/>
  <c r="E225" i="12"/>
  <c r="H52" i="52" s="1"/>
  <c r="F225" i="12"/>
  <c r="H52" i="53" s="1"/>
  <c r="G225" i="12"/>
  <c r="H52" i="54" s="1"/>
  <c r="H225" i="12"/>
  <c r="H52" i="55" s="1"/>
  <c r="C226" i="12"/>
  <c r="H53" i="51" s="1"/>
  <c r="D226" i="12"/>
  <c r="H53" i="56" s="1"/>
  <c r="E226" i="12"/>
  <c r="H53" i="52" s="1"/>
  <c r="F226" i="12"/>
  <c r="H53" i="53" s="1"/>
  <c r="G226" i="12"/>
  <c r="H53" i="54" s="1"/>
  <c r="H226" i="12"/>
  <c r="H53" i="55" s="1"/>
  <c r="B223" i="12"/>
  <c r="H50" i="46" s="1"/>
  <c r="B224" i="12"/>
  <c r="H51" i="46" s="1"/>
  <c r="B225" i="12"/>
  <c r="H52" i="46" s="1"/>
  <c r="B226" i="12"/>
  <c r="H53" i="46" s="1"/>
  <c r="B222" i="12"/>
  <c r="H49" i="46" s="1"/>
  <c r="AA60" i="55"/>
  <c r="W60" i="55"/>
  <c r="U60" i="55"/>
  <c r="P60" i="55"/>
  <c r="N60" i="55"/>
  <c r="I60" i="55"/>
  <c r="G60" i="55"/>
  <c r="B60" i="55"/>
  <c r="AA59" i="55"/>
  <c r="W59" i="55"/>
  <c r="U59" i="55"/>
  <c r="P59" i="55"/>
  <c r="N59" i="55"/>
  <c r="I59" i="55"/>
  <c r="G59" i="55"/>
  <c r="B59" i="55"/>
  <c r="AA58" i="55"/>
  <c r="W58" i="55"/>
  <c r="U58" i="55"/>
  <c r="P58" i="55"/>
  <c r="N58" i="55"/>
  <c r="I58" i="55"/>
  <c r="G58" i="55"/>
  <c r="B58" i="55"/>
  <c r="AA57" i="55"/>
  <c r="W57" i="55"/>
  <c r="U57" i="55"/>
  <c r="P57" i="55"/>
  <c r="N57" i="55"/>
  <c r="I57" i="55"/>
  <c r="G57" i="55"/>
  <c r="B57" i="55"/>
  <c r="AA56" i="55"/>
  <c r="W56" i="55"/>
  <c r="U56" i="55"/>
  <c r="P56" i="55"/>
  <c r="N56" i="55"/>
  <c r="I56" i="55"/>
  <c r="G56" i="55"/>
  <c r="B56" i="55"/>
  <c r="AA55" i="55"/>
  <c r="W55" i="55"/>
  <c r="U55" i="55"/>
  <c r="P55" i="55"/>
  <c r="N55" i="55"/>
  <c r="I55" i="55"/>
  <c r="G55" i="55"/>
  <c r="B55" i="55"/>
  <c r="AA54" i="55"/>
  <c r="W54" i="55"/>
  <c r="U54" i="55"/>
  <c r="P54" i="55"/>
  <c r="N54" i="55"/>
  <c r="I54" i="55"/>
  <c r="G54" i="55"/>
  <c r="B54" i="55"/>
  <c r="AA53" i="55"/>
  <c r="W53" i="55"/>
  <c r="U53" i="55"/>
  <c r="P53" i="55"/>
  <c r="N53" i="55"/>
  <c r="I53" i="55"/>
  <c r="G53" i="55"/>
  <c r="B53" i="55"/>
  <c r="AA52" i="55"/>
  <c r="W52" i="55"/>
  <c r="U52" i="55"/>
  <c r="P52" i="55"/>
  <c r="N52" i="55"/>
  <c r="I52" i="55"/>
  <c r="G52" i="55"/>
  <c r="B52" i="55"/>
  <c r="AA51" i="55"/>
  <c r="W51" i="55"/>
  <c r="U51" i="55"/>
  <c r="P51" i="55"/>
  <c r="N51" i="55"/>
  <c r="I51" i="55"/>
  <c r="G51" i="55"/>
  <c r="B51" i="55"/>
  <c r="AA50" i="55"/>
  <c r="W50" i="55"/>
  <c r="U50" i="55"/>
  <c r="P50" i="55"/>
  <c r="N50" i="55"/>
  <c r="I50" i="55"/>
  <c r="G50" i="55"/>
  <c r="B50" i="55"/>
  <c r="AA49" i="55"/>
  <c r="W49" i="55"/>
  <c r="U49" i="55"/>
  <c r="P49" i="55"/>
  <c r="N49" i="55"/>
  <c r="G49" i="55"/>
  <c r="B49" i="55"/>
  <c r="AA48" i="55"/>
  <c r="W48" i="55"/>
  <c r="U48" i="55"/>
  <c r="P48" i="55"/>
  <c r="N48" i="55"/>
  <c r="I48" i="55"/>
  <c r="G48" i="55"/>
  <c r="B48" i="55"/>
  <c r="AA60" i="54"/>
  <c r="W60" i="54"/>
  <c r="U60" i="54"/>
  <c r="P60" i="54"/>
  <c r="N60" i="54"/>
  <c r="I60" i="54"/>
  <c r="G60" i="54"/>
  <c r="B60" i="54"/>
  <c r="AA59" i="54"/>
  <c r="W59" i="54"/>
  <c r="U59" i="54"/>
  <c r="P59" i="54"/>
  <c r="N59" i="54"/>
  <c r="I59" i="54"/>
  <c r="G59" i="54"/>
  <c r="B59" i="54"/>
  <c r="AA58" i="54"/>
  <c r="W58" i="54"/>
  <c r="U58" i="54"/>
  <c r="P58" i="54"/>
  <c r="N58" i="54"/>
  <c r="I58" i="54"/>
  <c r="G58" i="54"/>
  <c r="B58" i="54"/>
  <c r="AA57" i="54"/>
  <c r="W57" i="54"/>
  <c r="U57" i="54"/>
  <c r="P57" i="54"/>
  <c r="N57" i="54"/>
  <c r="I57" i="54"/>
  <c r="G57" i="54"/>
  <c r="B57" i="54"/>
  <c r="AA56" i="54"/>
  <c r="W56" i="54"/>
  <c r="U56" i="54"/>
  <c r="P56" i="54"/>
  <c r="N56" i="54"/>
  <c r="I56" i="54"/>
  <c r="G56" i="54"/>
  <c r="B56" i="54"/>
  <c r="AA55" i="54"/>
  <c r="W55" i="54"/>
  <c r="U55" i="54"/>
  <c r="P55" i="54"/>
  <c r="N55" i="54"/>
  <c r="I55" i="54"/>
  <c r="G55" i="54"/>
  <c r="B55" i="54"/>
  <c r="AA54" i="54"/>
  <c r="W54" i="54"/>
  <c r="U54" i="54"/>
  <c r="P54" i="54"/>
  <c r="N54" i="54"/>
  <c r="I54" i="54"/>
  <c r="G54" i="54"/>
  <c r="B54" i="54"/>
  <c r="AA53" i="54"/>
  <c r="W53" i="54"/>
  <c r="U53" i="54"/>
  <c r="P53" i="54"/>
  <c r="N53" i="54"/>
  <c r="I53" i="54"/>
  <c r="G53" i="54"/>
  <c r="B53" i="54"/>
  <c r="AA52" i="54"/>
  <c r="W52" i="54"/>
  <c r="U52" i="54"/>
  <c r="P52" i="54"/>
  <c r="N52" i="54"/>
  <c r="I52" i="54"/>
  <c r="G52" i="54"/>
  <c r="B52" i="54"/>
  <c r="AA51" i="54"/>
  <c r="W51" i="54"/>
  <c r="U51" i="54"/>
  <c r="P51" i="54"/>
  <c r="N51" i="54"/>
  <c r="I51" i="54"/>
  <c r="G51" i="54"/>
  <c r="B51" i="54"/>
  <c r="AA50" i="54"/>
  <c r="W50" i="54"/>
  <c r="U50" i="54"/>
  <c r="P50" i="54"/>
  <c r="N50" i="54"/>
  <c r="I50" i="54"/>
  <c r="G50" i="54"/>
  <c r="B50" i="54"/>
  <c r="AA49" i="54"/>
  <c r="W49" i="54"/>
  <c r="U49" i="54"/>
  <c r="P49" i="54"/>
  <c r="N49" i="54"/>
  <c r="I49" i="54"/>
  <c r="G49" i="54"/>
  <c r="B49" i="54"/>
  <c r="AA48" i="54"/>
  <c r="W48" i="54"/>
  <c r="U48" i="54"/>
  <c r="P48" i="54"/>
  <c r="N48" i="54"/>
  <c r="I48" i="54"/>
  <c r="G48" i="54"/>
  <c r="B48" i="54"/>
  <c r="AA60" i="52"/>
  <c r="W60" i="52"/>
  <c r="U60" i="52"/>
  <c r="P60" i="52"/>
  <c r="N60" i="52"/>
  <c r="I60" i="52"/>
  <c r="G60" i="52"/>
  <c r="B60" i="52"/>
  <c r="AA59" i="52"/>
  <c r="W59" i="52"/>
  <c r="U59" i="52"/>
  <c r="P59" i="52"/>
  <c r="N59" i="52"/>
  <c r="I59" i="52"/>
  <c r="G59" i="52"/>
  <c r="B59" i="52"/>
  <c r="AA58" i="52"/>
  <c r="W58" i="52"/>
  <c r="U58" i="52"/>
  <c r="P58" i="52"/>
  <c r="N58" i="52"/>
  <c r="I58" i="52"/>
  <c r="G58" i="52"/>
  <c r="B58" i="52"/>
  <c r="AA57" i="52"/>
  <c r="W57" i="52"/>
  <c r="U57" i="52"/>
  <c r="P57" i="52"/>
  <c r="N57" i="52"/>
  <c r="I57" i="52"/>
  <c r="G57" i="52"/>
  <c r="B57" i="52"/>
  <c r="AA56" i="52"/>
  <c r="W56" i="52"/>
  <c r="U56" i="52"/>
  <c r="P56" i="52"/>
  <c r="N56" i="52"/>
  <c r="I56" i="52"/>
  <c r="G56" i="52"/>
  <c r="B56" i="52"/>
  <c r="AA55" i="52"/>
  <c r="W55" i="52"/>
  <c r="U55" i="52"/>
  <c r="P55" i="52"/>
  <c r="N55" i="52"/>
  <c r="I55" i="52"/>
  <c r="G55" i="52"/>
  <c r="B55" i="52"/>
  <c r="AA54" i="52"/>
  <c r="W54" i="52"/>
  <c r="U54" i="52"/>
  <c r="P54" i="52"/>
  <c r="N54" i="52"/>
  <c r="I54" i="52"/>
  <c r="G54" i="52"/>
  <c r="B54" i="52"/>
  <c r="AA53" i="52"/>
  <c r="W53" i="52"/>
  <c r="U53" i="52"/>
  <c r="P53" i="52"/>
  <c r="N53" i="52"/>
  <c r="I53" i="52"/>
  <c r="G53" i="52"/>
  <c r="B53" i="52"/>
  <c r="AA52" i="52"/>
  <c r="W52" i="52"/>
  <c r="U52" i="52"/>
  <c r="P52" i="52"/>
  <c r="N52" i="52"/>
  <c r="I52" i="52"/>
  <c r="G52" i="52"/>
  <c r="B52" i="52"/>
  <c r="AA51" i="52"/>
  <c r="W51" i="52"/>
  <c r="U51" i="52"/>
  <c r="P51" i="52"/>
  <c r="N51" i="52"/>
  <c r="I51" i="52"/>
  <c r="G51" i="52"/>
  <c r="B51" i="52"/>
  <c r="AA50" i="52"/>
  <c r="W50" i="52"/>
  <c r="U50" i="52"/>
  <c r="P50" i="52"/>
  <c r="N50" i="52"/>
  <c r="I50" i="52"/>
  <c r="G50" i="52"/>
  <c r="B50" i="52"/>
  <c r="AA49" i="52"/>
  <c r="W49" i="52"/>
  <c r="U49" i="52"/>
  <c r="P49" i="52"/>
  <c r="N49" i="52"/>
  <c r="I49" i="52"/>
  <c r="G49" i="52"/>
  <c r="B49" i="52"/>
  <c r="AA48" i="52"/>
  <c r="W48" i="52"/>
  <c r="U48" i="52"/>
  <c r="P48" i="52"/>
  <c r="N48" i="52"/>
  <c r="I48" i="52"/>
  <c r="G48" i="52"/>
  <c r="B48" i="52"/>
  <c r="AA60" i="53"/>
  <c r="W60" i="53"/>
  <c r="U60" i="53"/>
  <c r="P60" i="53"/>
  <c r="N60" i="53"/>
  <c r="I60" i="53"/>
  <c r="G60" i="53"/>
  <c r="B60" i="53"/>
  <c r="AA59" i="53"/>
  <c r="W59" i="53"/>
  <c r="U59" i="53"/>
  <c r="P59" i="53"/>
  <c r="N59" i="53"/>
  <c r="I59" i="53"/>
  <c r="G59" i="53"/>
  <c r="B59" i="53"/>
  <c r="AA58" i="53"/>
  <c r="W58" i="53"/>
  <c r="U58" i="53"/>
  <c r="P58" i="53"/>
  <c r="N58" i="53"/>
  <c r="I58" i="53"/>
  <c r="G58" i="53"/>
  <c r="B58" i="53"/>
  <c r="AA57" i="53"/>
  <c r="W57" i="53"/>
  <c r="U57" i="53"/>
  <c r="P57" i="53"/>
  <c r="N57" i="53"/>
  <c r="I57" i="53"/>
  <c r="G57" i="53"/>
  <c r="B57" i="53"/>
  <c r="AA56" i="53"/>
  <c r="W56" i="53"/>
  <c r="U56" i="53"/>
  <c r="P56" i="53"/>
  <c r="N56" i="53"/>
  <c r="I56" i="53"/>
  <c r="G56" i="53"/>
  <c r="B56" i="53"/>
  <c r="AA55" i="53"/>
  <c r="W55" i="53"/>
  <c r="U55" i="53"/>
  <c r="P55" i="53"/>
  <c r="N55" i="53"/>
  <c r="I55" i="53"/>
  <c r="G55" i="53"/>
  <c r="B55" i="53"/>
  <c r="AA54" i="53"/>
  <c r="W54" i="53"/>
  <c r="U54" i="53"/>
  <c r="P54" i="53"/>
  <c r="N54" i="53"/>
  <c r="I54" i="53"/>
  <c r="G54" i="53"/>
  <c r="B54" i="53"/>
  <c r="AA53" i="53"/>
  <c r="W53" i="53"/>
  <c r="U53" i="53"/>
  <c r="P53" i="53"/>
  <c r="N53" i="53"/>
  <c r="I53" i="53"/>
  <c r="G53" i="53"/>
  <c r="B53" i="53"/>
  <c r="AA52" i="53"/>
  <c r="W52" i="53"/>
  <c r="U52" i="53"/>
  <c r="P52" i="53"/>
  <c r="N52" i="53"/>
  <c r="I52" i="53"/>
  <c r="G52" i="53"/>
  <c r="B52" i="53"/>
  <c r="AA51" i="53"/>
  <c r="W51" i="53"/>
  <c r="U51" i="53"/>
  <c r="P51" i="53"/>
  <c r="N51" i="53"/>
  <c r="I51" i="53"/>
  <c r="G51" i="53"/>
  <c r="B51" i="53"/>
  <c r="AA50" i="53"/>
  <c r="W50" i="53"/>
  <c r="U50" i="53"/>
  <c r="P50" i="53"/>
  <c r="N50" i="53"/>
  <c r="I50" i="53"/>
  <c r="G50" i="53"/>
  <c r="B50" i="53"/>
  <c r="AA49" i="53"/>
  <c r="W49" i="53"/>
  <c r="U49" i="53"/>
  <c r="P49" i="53"/>
  <c r="N49" i="53"/>
  <c r="I49" i="53"/>
  <c r="G49" i="53"/>
  <c r="B49" i="53"/>
  <c r="AA48" i="53"/>
  <c r="W48" i="53"/>
  <c r="U48" i="53"/>
  <c r="P48" i="53"/>
  <c r="N48" i="53"/>
  <c r="I48" i="53"/>
  <c r="G48" i="53"/>
  <c r="B48" i="53"/>
  <c r="AA60" i="56"/>
  <c r="W60" i="56"/>
  <c r="U60" i="56"/>
  <c r="P60" i="56"/>
  <c r="N60" i="56"/>
  <c r="I60" i="56"/>
  <c r="G60" i="56"/>
  <c r="B60" i="56"/>
  <c r="AA59" i="56"/>
  <c r="W59" i="56"/>
  <c r="U59" i="56"/>
  <c r="P59" i="56"/>
  <c r="N59" i="56"/>
  <c r="I59" i="56"/>
  <c r="G59" i="56"/>
  <c r="B59" i="56"/>
  <c r="AA58" i="56"/>
  <c r="W58" i="56"/>
  <c r="U58" i="56"/>
  <c r="P58" i="56"/>
  <c r="N58" i="56"/>
  <c r="I58" i="56"/>
  <c r="G58" i="56"/>
  <c r="B58" i="56"/>
  <c r="AA57" i="56"/>
  <c r="W57" i="56"/>
  <c r="U57" i="56"/>
  <c r="P57" i="56"/>
  <c r="N57" i="56"/>
  <c r="I57" i="56"/>
  <c r="G57" i="56"/>
  <c r="B57" i="56"/>
  <c r="AA56" i="56"/>
  <c r="W56" i="56"/>
  <c r="U56" i="56"/>
  <c r="P56" i="56"/>
  <c r="N56" i="56"/>
  <c r="I56" i="56"/>
  <c r="G56" i="56"/>
  <c r="B56" i="56"/>
  <c r="AA55" i="56"/>
  <c r="W55" i="56"/>
  <c r="U55" i="56"/>
  <c r="P55" i="56"/>
  <c r="N55" i="56"/>
  <c r="I55" i="56"/>
  <c r="G55" i="56"/>
  <c r="B55" i="56"/>
  <c r="AA54" i="56"/>
  <c r="W54" i="56"/>
  <c r="U54" i="56"/>
  <c r="P54" i="56"/>
  <c r="N54" i="56"/>
  <c r="I54" i="56"/>
  <c r="G54" i="56"/>
  <c r="B54" i="56"/>
  <c r="AA53" i="56"/>
  <c r="W53" i="56"/>
  <c r="U53" i="56"/>
  <c r="P53" i="56"/>
  <c r="N53" i="56"/>
  <c r="I53" i="56"/>
  <c r="G53" i="56"/>
  <c r="B53" i="56"/>
  <c r="AA52" i="56"/>
  <c r="W52" i="56"/>
  <c r="U52" i="56"/>
  <c r="P52" i="56"/>
  <c r="N52" i="56"/>
  <c r="I52" i="56"/>
  <c r="G52" i="56"/>
  <c r="B52" i="56"/>
  <c r="AA51" i="56"/>
  <c r="W51" i="56"/>
  <c r="U51" i="56"/>
  <c r="P51" i="56"/>
  <c r="N51" i="56"/>
  <c r="I51" i="56"/>
  <c r="G51" i="56"/>
  <c r="B51" i="56"/>
  <c r="AA50" i="56"/>
  <c r="W50" i="56"/>
  <c r="U50" i="56"/>
  <c r="P50" i="56"/>
  <c r="N50" i="56"/>
  <c r="I50" i="56"/>
  <c r="G50" i="56"/>
  <c r="B50" i="56"/>
  <c r="AA49" i="56"/>
  <c r="W49" i="56"/>
  <c r="U49" i="56"/>
  <c r="P49" i="56"/>
  <c r="N49" i="56"/>
  <c r="I49" i="56"/>
  <c r="G49" i="56"/>
  <c r="B49" i="56"/>
  <c r="AA48" i="56"/>
  <c r="W48" i="56"/>
  <c r="U48" i="56"/>
  <c r="P48" i="56"/>
  <c r="N48" i="56"/>
  <c r="I48" i="56"/>
  <c r="G48" i="56"/>
  <c r="B48" i="56"/>
  <c r="AA60" i="51"/>
  <c r="W60" i="51"/>
  <c r="U60" i="51"/>
  <c r="P60" i="51"/>
  <c r="N60" i="51"/>
  <c r="I60" i="51"/>
  <c r="G60" i="51"/>
  <c r="B60" i="51"/>
  <c r="AA59" i="51"/>
  <c r="W59" i="51"/>
  <c r="U59" i="51"/>
  <c r="P59" i="51"/>
  <c r="N59" i="51"/>
  <c r="I59" i="51"/>
  <c r="G59" i="51"/>
  <c r="B59" i="51"/>
  <c r="AA58" i="51"/>
  <c r="W58" i="51"/>
  <c r="U58" i="51"/>
  <c r="P58" i="51"/>
  <c r="N58" i="51"/>
  <c r="I58" i="51"/>
  <c r="G58" i="51"/>
  <c r="B58" i="51"/>
  <c r="AA57" i="51"/>
  <c r="W57" i="51"/>
  <c r="U57" i="51"/>
  <c r="P57" i="51"/>
  <c r="N57" i="51"/>
  <c r="I57" i="51"/>
  <c r="G57" i="51"/>
  <c r="B57" i="51"/>
  <c r="AA56" i="51"/>
  <c r="W56" i="51"/>
  <c r="U56" i="51"/>
  <c r="P56" i="51"/>
  <c r="N56" i="51"/>
  <c r="I56" i="51"/>
  <c r="G56" i="51"/>
  <c r="B56" i="51"/>
  <c r="AA55" i="51"/>
  <c r="W55" i="51"/>
  <c r="U55" i="51"/>
  <c r="P55" i="51"/>
  <c r="N55" i="51"/>
  <c r="I55" i="51"/>
  <c r="G55" i="51"/>
  <c r="B55" i="51"/>
  <c r="AA54" i="51"/>
  <c r="W54" i="51"/>
  <c r="U54" i="51"/>
  <c r="P54" i="51"/>
  <c r="N54" i="51"/>
  <c r="I54" i="51"/>
  <c r="G54" i="51"/>
  <c r="B54" i="51"/>
  <c r="AA53" i="51"/>
  <c r="W53" i="51"/>
  <c r="U53" i="51"/>
  <c r="P53" i="51"/>
  <c r="N53" i="51"/>
  <c r="I53" i="51"/>
  <c r="G53" i="51"/>
  <c r="B53" i="51"/>
  <c r="AA52" i="51"/>
  <c r="W52" i="51"/>
  <c r="U52" i="51"/>
  <c r="P52" i="51"/>
  <c r="N52" i="51"/>
  <c r="I52" i="51"/>
  <c r="G52" i="51"/>
  <c r="B52" i="51"/>
  <c r="AA51" i="51"/>
  <c r="W51" i="51"/>
  <c r="U51" i="51"/>
  <c r="P51" i="51"/>
  <c r="N51" i="51"/>
  <c r="I51" i="51"/>
  <c r="G51" i="51"/>
  <c r="B51" i="51"/>
  <c r="AA50" i="51"/>
  <c r="W50" i="51"/>
  <c r="U50" i="51"/>
  <c r="P50" i="51"/>
  <c r="N50" i="51"/>
  <c r="I50" i="51"/>
  <c r="G50" i="51"/>
  <c r="B50" i="51"/>
  <c r="AA49" i="51"/>
  <c r="W49" i="51"/>
  <c r="U49" i="51"/>
  <c r="P49" i="51"/>
  <c r="N49" i="51"/>
  <c r="I49" i="51"/>
  <c r="G49" i="51"/>
  <c r="B49" i="51"/>
  <c r="AA48" i="51"/>
  <c r="W48" i="51"/>
  <c r="U48" i="51"/>
  <c r="P48" i="51"/>
  <c r="N48" i="51"/>
  <c r="I48" i="51"/>
  <c r="G48" i="51"/>
  <c r="B48" i="51"/>
  <c r="W49" i="46"/>
  <c r="W50" i="46"/>
  <c r="W51" i="46"/>
  <c r="W52" i="46"/>
  <c r="W53" i="46"/>
  <c r="W54" i="46"/>
  <c r="W55" i="46"/>
  <c r="W56" i="46"/>
  <c r="W57" i="46"/>
  <c r="W58" i="46"/>
  <c r="W59" i="46"/>
  <c r="W60" i="46"/>
  <c r="W48" i="46"/>
  <c r="P60" i="46"/>
  <c r="P49" i="46"/>
  <c r="P50" i="46"/>
  <c r="P51" i="46"/>
  <c r="P52" i="46"/>
  <c r="P53" i="46"/>
  <c r="P54" i="46"/>
  <c r="P55" i="46"/>
  <c r="P56" i="46"/>
  <c r="P57" i="46"/>
  <c r="P58" i="46"/>
  <c r="P59" i="46"/>
  <c r="P48" i="46"/>
  <c r="I60" i="46"/>
  <c r="I49" i="46"/>
  <c r="I50" i="46"/>
  <c r="I51" i="46"/>
  <c r="I52" i="46"/>
  <c r="I53" i="46"/>
  <c r="I54" i="46"/>
  <c r="I55" i="46"/>
  <c r="I56" i="46"/>
  <c r="I57" i="46"/>
  <c r="I58" i="46"/>
  <c r="I59" i="46"/>
  <c r="I48" i="46"/>
  <c r="B60" i="46"/>
  <c r="B49" i="46"/>
  <c r="B50" i="46"/>
  <c r="B51" i="46"/>
  <c r="B52" i="46"/>
  <c r="B53" i="46"/>
  <c r="B54" i="46"/>
  <c r="B55" i="46"/>
  <c r="B56" i="46"/>
  <c r="B57" i="46"/>
  <c r="B58" i="46"/>
  <c r="B59" i="46"/>
  <c r="B48" i="46"/>
  <c r="E62" i="55"/>
  <c r="D62" i="55"/>
  <c r="C62" i="55"/>
  <c r="B62" i="55"/>
  <c r="E62" i="54"/>
  <c r="D62" i="54"/>
  <c r="C62" i="54"/>
  <c r="B62" i="54"/>
  <c r="E62" i="53"/>
  <c r="D62" i="53"/>
  <c r="C62" i="53"/>
  <c r="B62" i="53"/>
  <c r="E62" i="52"/>
  <c r="D62" i="52"/>
  <c r="C62" i="52"/>
  <c r="B62" i="52"/>
  <c r="E62" i="56"/>
  <c r="D62" i="56"/>
  <c r="C62" i="56"/>
  <c r="B62" i="56"/>
  <c r="E62" i="51"/>
  <c r="D62" i="51"/>
  <c r="C62" i="51"/>
  <c r="B62" i="51"/>
  <c r="H57" i="51"/>
  <c r="O56" i="46"/>
  <c r="O56" i="55"/>
  <c r="C276" i="12"/>
  <c r="D276" i="12"/>
  <c r="E276" i="12"/>
  <c r="F276" i="12"/>
  <c r="G276" i="12"/>
  <c r="H276" i="12"/>
  <c r="B276" i="12"/>
  <c r="H183" i="12"/>
  <c r="E181" i="12"/>
  <c r="D181" i="12"/>
  <c r="D290" i="12" s="1"/>
  <c r="B178" i="12"/>
  <c r="H167" i="12"/>
  <c r="H221" i="12" s="1"/>
  <c r="D167" i="12"/>
  <c r="D221" i="12" s="1"/>
  <c r="E167" i="12"/>
  <c r="E221" i="12" s="1"/>
  <c r="F167" i="12"/>
  <c r="F221" i="12" s="1"/>
  <c r="G167" i="12"/>
  <c r="G221" i="12" s="1"/>
  <c r="C167" i="12"/>
  <c r="C221" i="12" s="1"/>
  <c r="B167" i="12"/>
  <c r="B221" i="12" s="1"/>
  <c r="B43" i="51"/>
  <c r="B42" i="51"/>
  <c r="B41" i="51"/>
  <c r="B40" i="51"/>
  <c r="B39" i="51"/>
  <c r="B43" i="56"/>
  <c r="B42" i="56"/>
  <c r="B41" i="56"/>
  <c r="B40" i="56"/>
  <c r="B39" i="56"/>
  <c r="B43" i="52"/>
  <c r="B42" i="52"/>
  <c r="B41" i="52"/>
  <c r="B40" i="52"/>
  <c r="B39" i="52"/>
  <c r="B43" i="53"/>
  <c r="B42" i="53"/>
  <c r="B41" i="53"/>
  <c r="B40" i="53"/>
  <c r="B39" i="53"/>
  <c r="B43" i="54"/>
  <c r="B42" i="54"/>
  <c r="B41" i="54"/>
  <c r="B40" i="54"/>
  <c r="B39" i="54"/>
  <c r="B43" i="55"/>
  <c r="B42" i="55"/>
  <c r="B41" i="55"/>
  <c r="B40" i="55"/>
  <c r="B39" i="55"/>
  <c r="B40" i="46"/>
  <c r="B41" i="46"/>
  <c r="B42" i="46"/>
  <c r="B43" i="46"/>
  <c r="B39" i="46"/>
  <c r="V23" i="55"/>
  <c r="R23" i="55"/>
  <c r="O23" i="55"/>
  <c r="H23" i="55"/>
  <c r="B23" i="55"/>
  <c r="V22" i="55"/>
  <c r="R22" i="55"/>
  <c r="O22" i="55"/>
  <c r="H22" i="55"/>
  <c r="B22" i="55"/>
  <c r="V21" i="55"/>
  <c r="R21" i="55"/>
  <c r="O21" i="55"/>
  <c r="H21" i="55"/>
  <c r="B21" i="55"/>
  <c r="V20" i="55"/>
  <c r="R20" i="55"/>
  <c r="O20" i="55"/>
  <c r="H20" i="55"/>
  <c r="B20" i="55"/>
  <c r="V19" i="55"/>
  <c r="R19" i="55"/>
  <c r="O19" i="55"/>
  <c r="H19" i="55"/>
  <c r="B19" i="55"/>
  <c r="V18" i="55"/>
  <c r="R18" i="55"/>
  <c r="O18" i="55"/>
  <c r="H18" i="55"/>
  <c r="B18" i="55"/>
  <c r="V23" i="54"/>
  <c r="R23" i="54"/>
  <c r="Q23" i="54"/>
  <c r="O23" i="54"/>
  <c r="K23" i="54"/>
  <c r="J23" i="54"/>
  <c r="H23" i="54"/>
  <c r="G23" i="54"/>
  <c r="E23" i="54"/>
  <c r="B23" i="54"/>
  <c r="V22" i="54"/>
  <c r="R22" i="54"/>
  <c r="Q22" i="54"/>
  <c r="O22" i="54"/>
  <c r="K22" i="54"/>
  <c r="J22" i="54"/>
  <c r="H22" i="54"/>
  <c r="G22" i="54"/>
  <c r="E22" i="54"/>
  <c r="B22" i="54"/>
  <c r="V21" i="54"/>
  <c r="R21" i="54"/>
  <c r="O21" i="54"/>
  <c r="H21" i="54"/>
  <c r="B21" i="54"/>
  <c r="V20" i="54"/>
  <c r="R20" i="54"/>
  <c r="O20" i="54"/>
  <c r="H20" i="54"/>
  <c r="B20" i="54"/>
  <c r="V19" i="54"/>
  <c r="R19" i="54"/>
  <c r="O19" i="54"/>
  <c r="H19" i="54"/>
  <c r="B19" i="54"/>
  <c r="V18" i="54"/>
  <c r="R18" i="54"/>
  <c r="O18" i="54"/>
  <c r="H18" i="54"/>
  <c r="B18" i="54"/>
  <c r="V23" i="53"/>
  <c r="R23" i="53"/>
  <c r="Q23" i="53"/>
  <c r="O23" i="53"/>
  <c r="K23" i="53"/>
  <c r="J23" i="53"/>
  <c r="H23" i="53"/>
  <c r="G23" i="53"/>
  <c r="E23" i="53"/>
  <c r="B23" i="53"/>
  <c r="V22" i="53"/>
  <c r="R22" i="53"/>
  <c r="Q22" i="53"/>
  <c r="O22" i="53"/>
  <c r="K22" i="53"/>
  <c r="J22" i="53"/>
  <c r="H22" i="53"/>
  <c r="G22" i="53"/>
  <c r="B22" i="53"/>
  <c r="V21" i="53"/>
  <c r="R21" i="53"/>
  <c r="O21" i="53"/>
  <c r="H21" i="53"/>
  <c r="B21" i="53"/>
  <c r="V20" i="53"/>
  <c r="R20" i="53"/>
  <c r="O20" i="53"/>
  <c r="H20" i="53"/>
  <c r="B20" i="53"/>
  <c r="V19" i="53"/>
  <c r="R19" i="53"/>
  <c r="O19" i="53"/>
  <c r="H19" i="53"/>
  <c r="B19" i="53"/>
  <c r="V18" i="53"/>
  <c r="R18" i="53"/>
  <c r="O18" i="53"/>
  <c r="H18" i="53"/>
  <c r="B18" i="53"/>
  <c r="V23" i="52"/>
  <c r="R23" i="52"/>
  <c r="O23" i="52"/>
  <c r="K23" i="52"/>
  <c r="H23" i="52"/>
  <c r="B23" i="52"/>
  <c r="V22" i="52"/>
  <c r="R22" i="52"/>
  <c r="O22" i="52"/>
  <c r="H22" i="52"/>
  <c r="B22" i="52"/>
  <c r="V21" i="52"/>
  <c r="R21" i="52"/>
  <c r="O21" i="52"/>
  <c r="H21" i="52"/>
  <c r="B21" i="52"/>
  <c r="V20" i="52"/>
  <c r="R20" i="52"/>
  <c r="O20" i="52"/>
  <c r="H20" i="52"/>
  <c r="B20" i="52"/>
  <c r="V19" i="52"/>
  <c r="R19" i="52"/>
  <c r="O19" i="52"/>
  <c r="H19" i="52"/>
  <c r="B19" i="52"/>
  <c r="V18" i="52"/>
  <c r="R18" i="52"/>
  <c r="O18" i="52"/>
  <c r="H18" i="52"/>
  <c r="B18" i="52"/>
  <c r="V23" i="56"/>
  <c r="R23" i="56"/>
  <c r="Q23" i="56"/>
  <c r="O23" i="56"/>
  <c r="K23" i="56"/>
  <c r="J23" i="56"/>
  <c r="H23" i="56"/>
  <c r="G23" i="56"/>
  <c r="E23" i="56"/>
  <c r="B23" i="56"/>
  <c r="V22" i="56"/>
  <c r="R22" i="56"/>
  <c r="O22" i="56"/>
  <c r="K22" i="56"/>
  <c r="H22" i="56"/>
  <c r="B22" i="56"/>
  <c r="V21" i="56"/>
  <c r="R21" i="56"/>
  <c r="O21" i="56"/>
  <c r="H21" i="56"/>
  <c r="B21" i="56"/>
  <c r="V20" i="56"/>
  <c r="R20" i="56"/>
  <c r="O20" i="56"/>
  <c r="H20" i="56"/>
  <c r="B20" i="56"/>
  <c r="V19" i="56"/>
  <c r="R19" i="56"/>
  <c r="O19" i="56"/>
  <c r="H19" i="56"/>
  <c r="B19" i="56"/>
  <c r="V18" i="56"/>
  <c r="R18" i="56"/>
  <c r="O18" i="56"/>
  <c r="H18" i="56"/>
  <c r="B18" i="56"/>
  <c r="V23" i="51"/>
  <c r="R23" i="51"/>
  <c r="Q23" i="51"/>
  <c r="O23" i="51"/>
  <c r="K23" i="51"/>
  <c r="J23" i="51"/>
  <c r="H23" i="51"/>
  <c r="G23" i="51"/>
  <c r="E23" i="51"/>
  <c r="B23" i="51"/>
  <c r="V22" i="51"/>
  <c r="R22" i="51"/>
  <c r="Q22" i="51"/>
  <c r="O22" i="51"/>
  <c r="K22" i="51"/>
  <c r="J22" i="51"/>
  <c r="H22" i="51"/>
  <c r="G22" i="51"/>
  <c r="E22" i="51"/>
  <c r="B22" i="51"/>
  <c r="V21" i="51"/>
  <c r="R21" i="51"/>
  <c r="O21" i="51"/>
  <c r="H21" i="51"/>
  <c r="B21" i="51"/>
  <c r="V20" i="51"/>
  <c r="R20" i="51"/>
  <c r="O20" i="51"/>
  <c r="H20" i="51"/>
  <c r="B20" i="51"/>
  <c r="V19" i="51"/>
  <c r="R19" i="51"/>
  <c r="O19" i="51"/>
  <c r="H19" i="51"/>
  <c r="B19" i="51"/>
  <c r="V18" i="51"/>
  <c r="R18" i="51"/>
  <c r="O18" i="51"/>
  <c r="H18" i="51"/>
  <c r="B18" i="51"/>
  <c r="T23" i="51"/>
  <c r="S23" i="51"/>
  <c r="T22" i="51"/>
  <c r="S22" i="51"/>
  <c r="T21" i="51"/>
  <c r="S21" i="51"/>
  <c r="T20" i="51"/>
  <c r="S20" i="51"/>
  <c r="T19" i="51"/>
  <c r="S19" i="51"/>
  <c r="T18" i="51"/>
  <c r="S18" i="51"/>
  <c r="G505" i="12"/>
  <c r="F505" i="12"/>
  <c r="C505" i="12"/>
  <c r="B505" i="12"/>
  <c r="G478" i="12"/>
  <c r="F478" i="12"/>
  <c r="F472" i="12" s="1"/>
  <c r="E22" i="53" s="1"/>
  <c r="C478" i="12"/>
  <c r="Q23" i="46"/>
  <c r="V23" i="46"/>
  <c r="V21" i="46"/>
  <c r="R23" i="46"/>
  <c r="O23" i="46"/>
  <c r="O21" i="46"/>
  <c r="K23" i="46"/>
  <c r="H23" i="46"/>
  <c r="G23" i="46"/>
  <c r="E23" i="46"/>
  <c r="H21" i="46"/>
  <c r="B23" i="46"/>
  <c r="B19" i="46"/>
  <c r="J23" i="46"/>
  <c r="J22" i="46"/>
  <c r="P7" i="57" l="1"/>
  <c r="I343" i="12"/>
  <c r="O55" i="56"/>
  <c r="O52" i="46"/>
  <c r="O51" i="53"/>
  <c r="O54" i="53"/>
  <c r="O53" i="46"/>
  <c r="O55" i="54"/>
  <c r="V51" i="55"/>
  <c r="O54" i="52"/>
  <c r="V49" i="55"/>
  <c r="O53" i="57"/>
  <c r="O54" i="54"/>
  <c r="O56" i="53"/>
  <c r="O56" i="56"/>
  <c r="O50" i="46"/>
  <c r="O59" i="51"/>
  <c r="I11" i="3"/>
  <c r="I51" i="4" s="1"/>
  <c r="F28" i="57" s="1"/>
  <c r="I308" i="4"/>
  <c r="I309" i="4" s="1"/>
  <c r="M13" i="57" s="1"/>
  <c r="O52" i="56"/>
  <c r="O58" i="51"/>
  <c r="Q9" i="57"/>
  <c r="I93" i="57"/>
  <c r="I395" i="12"/>
  <c r="I476" i="12"/>
  <c r="C7" i="57"/>
  <c r="I66" i="4"/>
  <c r="T29" i="57" s="1"/>
  <c r="I54" i="4"/>
  <c r="I13" i="4" s="1"/>
  <c r="D31" i="57" s="1"/>
  <c r="S15" i="57" s="1"/>
  <c r="I11" i="4"/>
  <c r="D29" i="57" s="1"/>
  <c r="G7" i="57"/>
  <c r="I63" i="4"/>
  <c r="T26" i="57" s="1"/>
  <c r="I341" i="12"/>
  <c r="M7" i="57" s="1"/>
  <c r="I62" i="4"/>
  <c r="F37" i="57" s="1"/>
  <c r="I50" i="4"/>
  <c r="F27" i="57" s="1"/>
  <c r="I70" i="4"/>
  <c r="H93" i="57" s="1"/>
  <c r="I61" i="4"/>
  <c r="F36" i="57" s="1"/>
  <c r="I49" i="4"/>
  <c r="F26" i="57" s="1"/>
  <c r="I60" i="4"/>
  <c r="F35" i="57" s="1"/>
  <c r="I47" i="4"/>
  <c r="E14" i="57" s="1"/>
  <c r="C8" i="57"/>
  <c r="I59" i="4"/>
  <c r="I20" i="4" s="1"/>
  <c r="I46" i="4"/>
  <c r="E13" i="57" s="1"/>
  <c r="I26" i="4"/>
  <c r="R27" i="57" s="1"/>
  <c r="C6" i="57"/>
  <c r="D8" i="57"/>
  <c r="I88" i="4"/>
  <c r="I94" i="4" s="1"/>
  <c r="I95" i="4" s="1"/>
  <c r="I58" i="4"/>
  <c r="I18" i="4" s="1"/>
  <c r="I45" i="4"/>
  <c r="E12" i="57" s="1"/>
  <c r="I2" i="2"/>
  <c r="I16" i="2" s="1"/>
  <c r="I3" i="1" s="1"/>
  <c r="F8" i="57"/>
  <c r="I347" i="12"/>
  <c r="I277" i="4" s="1"/>
  <c r="N26" i="57" s="1"/>
  <c r="I57" i="4"/>
  <c r="F33" i="57" s="1"/>
  <c r="I42" i="4"/>
  <c r="E15" i="57" s="1"/>
  <c r="F6" i="57"/>
  <c r="G8" i="57"/>
  <c r="I68" i="4"/>
  <c r="T31" i="57" s="1"/>
  <c r="I56" i="4"/>
  <c r="I15" i="4" s="1"/>
  <c r="I67" i="4"/>
  <c r="T30" i="57" s="1"/>
  <c r="I55" i="4"/>
  <c r="F32" i="57" s="1"/>
  <c r="I65" i="4"/>
  <c r="T28" i="57" s="1"/>
  <c r="F7" i="57"/>
  <c r="O52" i="54"/>
  <c r="O49" i="57"/>
  <c r="O53" i="56"/>
  <c r="I368" i="12"/>
  <c r="H32" i="57"/>
  <c r="V30" i="57"/>
  <c r="G13" i="57"/>
  <c r="H29" i="57"/>
  <c r="V27" i="57"/>
  <c r="V26" i="57"/>
  <c r="O51" i="54"/>
  <c r="O48" i="57"/>
  <c r="H60" i="57"/>
  <c r="I12" i="4"/>
  <c r="D30" i="57" s="1"/>
  <c r="I273" i="12"/>
  <c r="I274" i="12" s="1"/>
  <c r="X62" i="57" s="1"/>
  <c r="I26" i="3"/>
  <c r="I8" i="3"/>
  <c r="G289" i="12"/>
  <c r="H60" i="54" s="1"/>
  <c r="H292" i="12"/>
  <c r="O50" i="55" s="1"/>
  <c r="E290" i="12"/>
  <c r="O48" i="52" s="1"/>
  <c r="B287" i="12"/>
  <c r="H58" i="46" s="1"/>
  <c r="F273" i="12"/>
  <c r="F277" i="12" s="1"/>
  <c r="O48" i="56"/>
  <c r="O50" i="52"/>
  <c r="E273" i="12"/>
  <c r="E277" i="12" s="1"/>
  <c r="D273" i="12"/>
  <c r="D277" i="12" s="1"/>
  <c r="H273" i="12"/>
  <c r="H277" i="12" s="1"/>
  <c r="B273" i="12"/>
  <c r="G273" i="12"/>
  <c r="G277" i="12" s="1"/>
  <c r="AA49" i="46"/>
  <c r="AA50" i="46"/>
  <c r="AA51" i="46"/>
  <c r="AA52" i="46"/>
  <c r="AA53" i="46"/>
  <c r="AA54" i="46"/>
  <c r="AA55" i="46"/>
  <c r="AA56" i="46"/>
  <c r="AA57" i="46"/>
  <c r="AA58" i="46"/>
  <c r="AA59" i="46"/>
  <c r="AA60" i="46"/>
  <c r="AA48" i="46"/>
  <c r="U60" i="46"/>
  <c r="U49" i="46"/>
  <c r="U50" i="46"/>
  <c r="U51" i="46"/>
  <c r="U52" i="46"/>
  <c r="U53" i="46"/>
  <c r="U54" i="46"/>
  <c r="U55" i="46"/>
  <c r="U56" i="46"/>
  <c r="U57" i="46"/>
  <c r="U58" i="46"/>
  <c r="U59" i="46"/>
  <c r="U48" i="46"/>
  <c r="N49" i="46"/>
  <c r="N50" i="46"/>
  <c r="N51" i="46"/>
  <c r="N52" i="46"/>
  <c r="N53" i="46"/>
  <c r="N54" i="46"/>
  <c r="N55" i="46"/>
  <c r="N56" i="46"/>
  <c r="N57" i="46"/>
  <c r="N58" i="46"/>
  <c r="N59" i="46"/>
  <c r="N60" i="46"/>
  <c r="N48" i="46"/>
  <c r="G49" i="46"/>
  <c r="G50" i="46"/>
  <c r="G51" i="46"/>
  <c r="G52" i="46"/>
  <c r="G53" i="46"/>
  <c r="G54" i="46"/>
  <c r="G55" i="46"/>
  <c r="G56" i="46"/>
  <c r="G57" i="46"/>
  <c r="G58" i="46"/>
  <c r="G59" i="46"/>
  <c r="G60" i="46"/>
  <c r="G48" i="46"/>
  <c r="F447" i="12"/>
  <c r="K21" i="53" s="1"/>
  <c r="F420" i="12"/>
  <c r="K20" i="53" s="1"/>
  <c r="B134" i="55"/>
  <c r="B133" i="55"/>
  <c r="B132" i="55"/>
  <c r="B131" i="55"/>
  <c r="B129" i="55"/>
  <c r="B126" i="55"/>
  <c r="B125" i="55"/>
  <c r="B124" i="55"/>
  <c r="B123" i="55"/>
  <c r="B120" i="55"/>
  <c r="B119" i="55"/>
  <c r="B118" i="55"/>
  <c r="B117" i="55"/>
  <c r="B116" i="55"/>
  <c r="B115" i="55"/>
  <c r="B114" i="55"/>
  <c r="B113" i="55"/>
  <c r="B112" i="55"/>
  <c r="B111" i="55"/>
  <c r="B110" i="55"/>
  <c r="B109" i="55"/>
  <c r="B108" i="55"/>
  <c r="B107" i="55"/>
  <c r="B106" i="55"/>
  <c r="B105" i="55"/>
  <c r="B104" i="55"/>
  <c r="B103" i="55"/>
  <c r="B102" i="55"/>
  <c r="B101" i="55"/>
  <c r="B100" i="55"/>
  <c r="B99" i="55"/>
  <c r="F97" i="55"/>
  <c r="B96" i="55"/>
  <c r="B134" i="54"/>
  <c r="B133" i="54"/>
  <c r="B132" i="54"/>
  <c r="B131" i="54"/>
  <c r="B129" i="54"/>
  <c r="B126" i="54"/>
  <c r="B125" i="54"/>
  <c r="B123" i="54"/>
  <c r="B120" i="54"/>
  <c r="B119" i="54"/>
  <c r="B118" i="54"/>
  <c r="B117" i="54"/>
  <c r="B116" i="54"/>
  <c r="B115" i="54"/>
  <c r="B114" i="54"/>
  <c r="B113" i="54"/>
  <c r="B112" i="54"/>
  <c r="B111" i="54"/>
  <c r="B110" i="54"/>
  <c r="B109" i="54"/>
  <c r="B108" i="54"/>
  <c r="B107" i="54"/>
  <c r="B106" i="54"/>
  <c r="B105" i="54"/>
  <c r="B104" i="54"/>
  <c r="B103" i="54"/>
  <c r="B102" i="54"/>
  <c r="B101" i="54"/>
  <c r="B100" i="54"/>
  <c r="B99" i="54"/>
  <c r="F97" i="54"/>
  <c r="B96" i="54"/>
  <c r="B134" i="53"/>
  <c r="B133" i="53"/>
  <c r="B131" i="53"/>
  <c r="B129" i="53"/>
  <c r="B126" i="53"/>
  <c r="B125" i="53"/>
  <c r="B124" i="53"/>
  <c r="B123" i="53"/>
  <c r="B120" i="53"/>
  <c r="B119" i="53"/>
  <c r="B118" i="53"/>
  <c r="B117" i="53"/>
  <c r="B116" i="53"/>
  <c r="B115" i="53"/>
  <c r="B114" i="53"/>
  <c r="B113" i="53"/>
  <c r="B111" i="53"/>
  <c r="B109" i="53"/>
  <c r="B107" i="53"/>
  <c r="B105" i="53"/>
  <c r="B103" i="53"/>
  <c r="B101" i="53"/>
  <c r="B99" i="53"/>
  <c r="F97" i="53"/>
  <c r="B96" i="53"/>
  <c r="B134" i="52"/>
  <c r="B133" i="52"/>
  <c r="B132" i="52"/>
  <c r="B131" i="52"/>
  <c r="B129" i="52"/>
  <c r="B126" i="52"/>
  <c r="B125" i="52"/>
  <c r="B124" i="52"/>
  <c r="B123" i="52"/>
  <c r="B120" i="52"/>
  <c r="B119" i="52"/>
  <c r="B118" i="52"/>
  <c r="B117" i="52"/>
  <c r="B116" i="52"/>
  <c r="B115" i="52"/>
  <c r="B114" i="52"/>
  <c r="B113" i="52"/>
  <c r="B112" i="52"/>
  <c r="B111" i="52"/>
  <c r="B110" i="52"/>
  <c r="B109" i="52"/>
  <c r="B108" i="52"/>
  <c r="B107" i="52"/>
  <c r="B106" i="52"/>
  <c r="B105" i="52"/>
  <c r="B104" i="52"/>
  <c r="B103" i="52"/>
  <c r="B102" i="52"/>
  <c r="B101" i="52"/>
  <c r="B100" i="52"/>
  <c r="B99" i="52"/>
  <c r="F97" i="52"/>
  <c r="B96" i="52"/>
  <c r="B134" i="56"/>
  <c r="B133" i="56"/>
  <c r="B132" i="56"/>
  <c r="B131" i="56"/>
  <c r="B129" i="56"/>
  <c r="B126" i="56"/>
  <c r="B125" i="56"/>
  <c r="B124" i="56"/>
  <c r="B123" i="56"/>
  <c r="B134" i="51"/>
  <c r="B133" i="51"/>
  <c r="B132" i="51"/>
  <c r="B131" i="51"/>
  <c r="B129" i="51"/>
  <c r="B126" i="51"/>
  <c r="B125" i="51"/>
  <c r="B124" i="51"/>
  <c r="B123" i="51"/>
  <c r="F97" i="56"/>
  <c r="B96" i="56"/>
  <c r="B120" i="51"/>
  <c r="B119" i="51"/>
  <c r="B117" i="51"/>
  <c r="B116" i="51"/>
  <c r="B115" i="51"/>
  <c r="B113" i="51"/>
  <c r="B112" i="51"/>
  <c r="B111" i="51"/>
  <c r="B109" i="51"/>
  <c r="B107" i="51"/>
  <c r="B105" i="51"/>
  <c r="B103" i="51"/>
  <c r="B101" i="51"/>
  <c r="B99" i="51"/>
  <c r="F97" i="51"/>
  <c r="B96" i="51"/>
  <c r="K101" i="46"/>
  <c r="K103" i="46"/>
  <c r="K105" i="46"/>
  <c r="K99" i="46"/>
  <c r="K108" i="46"/>
  <c r="K104" i="46"/>
  <c r="K106" i="46"/>
  <c r="K100" i="46"/>
  <c r="K98" i="46"/>
  <c r="B100" i="46"/>
  <c r="K97" i="46"/>
  <c r="B120" i="46"/>
  <c r="B119" i="46"/>
  <c r="B118" i="46"/>
  <c r="B117" i="46"/>
  <c r="B116" i="46"/>
  <c r="B115" i="46"/>
  <c r="B114" i="46"/>
  <c r="B113" i="46"/>
  <c r="B112" i="46"/>
  <c r="B111" i="46"/>
  <c r="B110" i="46"/>
  <c r="B109" i="46"/>
  <c r="B107" i="46"/>
  <c r="B105" i="46"/>
  <c r="B103" i="46"/>
  <c r="B102" i="46"/>
  <c r="B101" i="46"/>
  <c r="B99" i="46"/>
  <c r="B123" i="46"/>
  <c r="B126" i="46"/>
  <c r="B125" i="46"/>
  <c r="B124" i="46"/>
  <c r="B134" i="46"/>
  <c r="B133" i="46"/>
  <c r="B131" i="46"/>
  <c r="H501" i="12"/>
  <c r="K23" i="55" s="1"/>
  <c r="D366" i="12"/>
  <c r="K18" i="56" s="1"/>
  <c r="E474" i="12"/>
  <c r="K22" i="52" s="1"/>
  <c r="C91" i="50"/>
  <c r="B7" i="50"/>
  <c r="C7" i="50"/>
  <c r="B79" i="55"/>
  <c r="J79" i="55"/>
  <c r="N79" i="55"/>
  <c r="B80" i="55"/>
  <c r="J80" i="55"/>
  <c r="N80" i="55"/>
  <c r="B81" i="55"/>
  <c r="J81" i="55"/>
  <c r="N81" i="55"/>
  <c r="B82" i="55"/>
  <c r="J82" i="55"/>
  <c r="N82" i="55"/>
  <c r="B83" i="55"/>
  <c r="J83" i="55"/>
  <c r="B84" i="55"/>
  <c r="J84" i="55"/>
  <c r="N84" i="55"/>
  <c r="B85" i="55"/>
  <c r="J85" i="55"/>
  <c r="N85" i="55"/>
  <c r="B86" i="55"/>
  <c r="J86" i="55"/>
  <c r="N86" i="55"/>
  <c r="B87" i="55"/>
  <c r="J87" i="55"/>
  <c r="N87" i="55"/>
  <c r="B77" i="54"/>
  <c r="J77" i="54"/>
  <c r="N77" i="54"/>
  <c r="B78" i="54"/>
  <c r="J78" i="54"/>
  <c r="N78" i="54"/>
  <c r="B79" i="54"/>
  <c r="J79" i="54"/>
  <c r="N79" i="54"/>
  <c r="B80" i="54"/>
  <c r="J80" i="54"/>
  <c r="N80" i="54"/>
  <c r="B81" i="54"/>
  <c r="J81" i="54"/>
  <c r="N81" i="54"/>
  <c r="B82" i="54"/>
  <c r="J82" i="54"/>
  <c r="N82" i="54"/>
  <c r="B83" i="54"/>
  <c r="J83" i="54"/>
  <c r="B84" i="54"/>
  <c r="J84" i="54"/>
  <c r="N84" i="54"/>
  <c r="B85" i="54"/>
  <c r="J85" i="54"/>
  <c r="N85" i="54"/>
  <c r="B86" i="54"/>
  <c r="J86" i="54"/>
  <c r="N86" i="54"/>
  <c r="B87" i="54"/>
  <c r="J87" i="54"/>
  <c r="N87" i="54"/>
  <c r="B79" i="53"/>
  <c r="J79" i="53"/>
  <c r="N79" i="53"/>
  <c r="B80" i="53"/>
  <c r="J80" i="53"/>
  <c r="N80" i="53"/>
  <c r="B81" i="53"/>
  <c r="J81" i="53"/>
  <c r="N81" i="53"/>
  <c r="B82" i="53"/>
  <c r="J82" i="53"/>
  <c r="N82" i="53"/>
  <c r="B83" i="53"/>
  <c r="J83" i="53"/>
  <c r="B84" i="53"/>
  <c r="J84" i="53"/>
  <c r="N84" i="53"/>
  <c r="B85" i="53"/>
  <c r="J85" i="53"/>
  <c r="N85" i="53"/>
  <c r="B86" i="53"/>
  <c r="J86" i="53"/>
  <c r="N86" i="53"/>
  <c r="B87" i="53"/>
  <c r="J87" i="53"/>
  <c r="N87" i="53"/>
  <c r="B77" i="52"/>
  <c r="J77" i="52"/>
  <c r="N77" i="52"/>
  <c r="B78" i="52"/>
  <c r="J78" i="52"/>
  <c r="N78" i="52"/>
  <c r="B79" i="52"/>
  <c r="J79" i="52"/>
  <c r="N79" i="52"/>
  <c r="B80" i="52"/>
  <c r="J80" i="52"/>
  <c r="N80" i="52"/>
  <c r="B81" i="52"/>
  <c r="J81" i="52"/>
  <c r="N81" i="52"/>
  <c r="B82" i="52"/>
  <c r="J82" i="52"/>
  <c r="N82" i="52"/>
  <c r="B83" i="52"/>
  <c r="J83" i="52"/>
  <c r="B84" i="52"/>
  <c r="J84" i="52"/>
  <c r="N84" i="52"/>
  <c r="B85" i="52"/>
  <c r="J85" i="52"/>
  <c r="N85" i="52"/>
  <c r="B86" i="52"/>
  <c r="J86" i="52"/>
  <c r="N86" i="52"/>
  <c r="B87" i="52"/>
  <c r="J87" i="52"/>
  <c r="N87" i="52"/>
  <c r="B79" i="56"/>
  <c r="J79" i="56"/>
  <c r="N79" i="56"/>
  <c r="B80" i="56"/>
  <c r="J80" i="56"/>
  <c r="N80" i="56"/>
  <c r="B81" i="56"/>
  <c r="J81" i="56"/>
  <c r="N81" i="56"/>
  <c r="B82" i="56"/>
  <c r="J82" i="56"/>
  <c r="N82" i="56"/>
  <c r="B83" i="56"/>
  <c r="J83" i="56"/>
  <c r="B84" i="56"/>
  <c r="J84" i="56"/>
  <c r="N84" i="56"/>
  <c r="B85" i="56"/>
  <c r="J85" i="56"/>
  <c r="N85" i="56"/>
  <c r="B86" i="56"/>
  <c r="J86" i="56"/>
  <c r="N86" i="56"/>
  <c r="B87" i="56"/>
  <c r="J87" i="56"/>
  <c r="N87" i="56"/>
  <c r="B81" i="46"/>
  <c r="J81" i="46"/>
  <c r="N81" i="46"/>
  <c r="B82" i="46"/>
  <c r="J82" i="46"/>
  <c r="N82" i="46"/>
  <c r="B83" i="46"/>
  <c r="J83" i="46"/>
  <c r="B84" i="46"/>
  <c r="J84" i="46"/>
  <c r="N84" i="46"/>
  <c r="B85" i="46"/>
  <c r="J85" i="46"/>
  <c r="N85" i="46"/>
  <c r="B86" i="46"/>
  <c r="J86" i="46"/>
  <c r="N86" i="46"/>
  <c r="B87" i="46"/>
  <c r="J87" i="46"/>
  <c r="N87" i="46"/>
  <c r="B85" i="51"/>
  <c r="J85" i="51"/>
  <c r="N85" i="51"/>
  <c r="B86" i="51"/>
  <c r="J86" i="51"/>
  <c r="N86" i="51"/>
  <c r="B87" i="51"/>
  <c r="J87" i="51"/>
  <c r="N87" i="51"/>
  <c r="J80" i="51"/>
  <c r="N80" i="51"/>
  <c r="J81" i="51"/>
  <c r="N81" i="51"/>
  <c r="J82" i="51"/>
  <c r="N82" i="51"/>
  <c r="J83" i="51"/>
  <c r="J84" i="51"/>
  <c r="N84" i="51"/>
  <c r="G420" i="12"/>
  <c r="K20" i="54" s="1"/>
  <c r="Q20" i="51"/>
  <c r="D420" i="12"/>
  <c r="K20" i="56" s="1"/>
  <c r="D447" i="12"/>
  <c r="K21" i="56" s="1"/>
  <c r="D393" i="12"/>
  <c r="K19" i="56" s="1"/>
  <c r="D338" i="12"/>
  <c r="Q7" i="56" s="1"/>
  <c r="D6" i="8"/>
  <c r="N66" i="56" s="1"/>
  <c r="B153" i="56"/>
  <c r="B152" i="56"/>
  <c r="B151" i="56"/>
  <c r="B150" i="56"/>
  <c r="B149" i="56"/>
  <c r="B147" i="56"/>
  <c r="K143" i="56"/>
  <c r="K142" i="56"/>
  <c r="K141" i="56"/>
  <c r="K140" i="56"/>
  <c r="K139" i="56"/>
  <c r="H139" i="56"/>
  <c r="K138" i="56"/>
  <c r="Q94" i="56"/>
  <c r="P94" i="56"/>
  <c r="O94" i="56"/>
  <c r="N94" i="56"/>
  <c r="E94" i="56"/>
  <c r="E93" i="56"/>
  <c r="S92" i="56"/>
  <c r="R92" i="56"/>
  <c r="Q92" i="56"/>
  <c r="P92" i="56"/>
  <c r="O92" i="56"/>
  <c r="N92" i="56"/>
  <c r="N78" i="56"/>
  <c r="J78" i="56"/>
  <c r="B78" i="56"/>
  <c r="N77" i="56"/>
  <c r="J77" i="56"/>
  <c r="B77" i="56"/>
  <c r="N76" i="56"/>
  <c r="J76" i="56"/>
  <c r="B76" i="56"/>
  <c r="N75" i="56"/>
  <c r="J75" i="56"/>
  <c r="B75" i="56"/>
  <c r="N74" i="56"/>
  <c r="J74" i="56"/>
  <c r="B74" i="56"/>
  <c r="N73" i="56"/>
  <c r="J73" i="56"/>
  <c r="B73" i="56"/>
  <c r="N72" i="56"/>
  <c r="J72" i="56"/>
  <c r="B72" i="56"/>
  <c r="N71" i="56"/>
  <c r="J71" i="56"/>
  <c r="B71" i="56"/>
  <c r="N70" i="56"/>
  <c r="J70" i="56"/>
  <c r="B70" i="56"/>
  <c r="N69" i="56"/>
  <c r="J69" i="56"/>
  <c r="B69" i="56"/>
  <c r="N68" i="56"/>
  <c r="J68" i="56"/>
  <c r="B68" i="56"/>
  <c r="N67" i="56"/>
  <c r="J67" i="56"/>
  <c r="B67" i="56"/>
  <c r="J66" i="56"/>
  <c r="B66" i="56"/>
  <c r="N65" i="56"/>
  <c r="J65" i="56"/>
  <c r="B65" i="56"/>
  <c r="I37" i="56"/>
  <c r="I36" i="56"/>
  <c r="I35" i="56"/>
  <c r="I34" i="56"/>
  <c r="F34" i="56"/>
  <c r="D34" i="56"/>
  <c r="I33" i="56"/>
  <c r="I32" i="56"/>
  <c r="W31" i="56"/>
  <c r="I31" i="56"/>
  <c r="W30" i="56"/>
  <c r="I30" i="56"/>
  <c r="W29" i="56"/>
  <c r="I29" i="56"/>
  <c r="W28" i="56"/>
  <c r="I28" i="56"/>
  <c r="W27" i="56"/>
  <c r="I27" i="56"/>
  <c r="W26" i="56"/>
  <c r="I26" i="56"/>
  <c r="L15" i="56"/>
  <c r="H15" i="56"/>
  <c r="H14" i="56"/>
  <c r="AA16" i="56"/>
  <c r="H13" i="56"/>
  <c r="AA15" i="56"/>
  <c r="H12" i="56"/>
  <c r="AA14" i="56"/>
  <c r="AA13" i="56"/>
  <c r="M9" i="56"/>
  <c r="AA10" i="56"/>
  <c r="AA7" i="56"/>
  <c r="V7" i="56"/>
  <c r="AA6" i="56"/>
  <c r="R3" i="56"/>
  <c r="M3" i="56"/>
  <c r="I3" i="56"/>
  <c r="D3" i="56"/>
  <c r="R2" i="56"/>
  <c r="I2" i="56"/>
  <c r="D2" i="56"/>
  <c r="I1" i="56"/>
  <c r="D4" i="11"/>
  <c r="K93" i="56" s="1"/>
  <c r="D282" i="4"/>
  <c r="D283" i="4"/>
  <c r="D284" i="4"/>
  <c r="D285" i="4"/>
  <c r="D286" i="4"/>
  <c r="D287" i="4"/>
  <c r="D288" i="4"/>
  <c r="D289" i="4"/>
  <c r="D290" i="4"/>
  <c r="D291" i="4"/>
  <c r="D292" i="4"/>
  <c r="D293" i="4"/>
  <c r="D294" i="4"/>
  <c r="D295" i="4"/>
  <c r="D296" i="4"/>
  <c r="D297" i="4"/>
  <c r="D298" i="4"/>
  <c r="D299" i="4"/>
  <c r="D300" i="4"/>
  <c r="D301" i="4"/>
  <c r="D202" i="4"/>
  <c r="D32" i="4" s="1"/>
  <c r="D340" i="12" s="1"/>
  <c r="D343" i="12" s="1"/>
  <c r="D203" i="4"/>
  <c r="D33" i="4" s="1"/>
  <c r="D204" i="4"/>
  <c r="D34" i="4" s="1"/>
  <c r="D205" i="4"/>
  <c r="D35" i="4" s="1"/>
  <c r="D206" i="4"/>
  <c r="L9" i="56" s="1"/>
  <c r="D207" i="4"/>
  <c r="D93" i="56" s="1"/>
  <c r="D208" i="4"/>
  <c r="D195" i="4"/>
  <c r="D395" i="12" s="1"/>
  <c r="J19" i="56" s="1"/>
  <c r="D196" i="4"/>
  <c r="D197" i="4"/>
  <c r="D198" i="4"/>
  <c r="D199" i="4"/>
  <c r="D200" i="4"/>
  <c r="D201" i="4"/>
  <c r="D194" i="4"/>
  <c r="V31" i="56" s="1"/>
  <c r="D171" i="4"/>
  <c r="G15" i="56" s="1"/>
  <c r="D172" i="4"/>
  <c r="G12" i="56" s="1"/>
  <c r="D173" i="4"/>
  <c r="G13" i="56" s="1"/>
  <c r="D174" i="4"/>
  <c r="G14" i="56" s="1"/>
  <c r="D175" i="4"/>
  <c r="H26" i="56" s="1"/>
  <c r="D176" i="4"/>
  <c r="H27" i="56" s="1"/>
  <c r="D177" i="4"/>
  <c r="D178" i="4"/>
  <c r="H29" i="56" s="1"/>
  <c r="D179" i="4"/>
  <c r="H30" i="56" s="1"/>
  <c r="D180" i="4"/>
  <c r="H31" i="56" s="1"/>
  <c r="D181" i="4"/>
  <c r="D182" i="4"/>
  <c r="D183" i="4"/>
  <c r="H33" i="56" s="1"/>
  <c r="D184" i="4"/>
  <c r="H34" i="56" s="1"/>
  <c r="D185" i="4"/>
  <c r="D186" i="4"/>
  <c r="H35" i="56" s="1"/>
  <c r="D187" i="4"/>
  <c r="H36" i="56" s="1"/>
  <c r="D188" i="4"/>
  <c r="H37" i="56" s="1"/>
  <c r="D189" i="4"/>
  <c r="V26" i="56" s="1"/>
  <c r="D190" i="4"/>
  <c r="D191" i="4"/>
  <c r="V28" i="56" s="1"/>
  <c r="D192" i="4"/>
  <c r="V29" i="56" s="1"/>
  <c r="D193" i="4"/>
  <c r="V30" i="56" s="1"/>
  <c r="D91" i="4"/>
  <c r="D71" i="4"/>
  <c r="I93" i="56" s="1"/>
  <c r="D41" i="4"/>
  <c r="D91" i="3"/>
  <c r="D98" i="3"/>
  <c r="D89" i="3"/>
  <c r="D82" i="3"/>
  <c r="D73" i="3"/>
  <c r="D63" i="3"/>
  <c r="D80" i="3"/>
  <c r="D71" i="3"/>
  <c r="D64" i="3"/>
  <c r="D61" i="3"/>
  <c r="D54" i="3"/>
  <c r="E54" i="3"/>
  <c r="F54" i="3"/>
  <c r="G54" i="3"/>
  <c r="H54" i="3"/>
  <c r="C54" i="3"/>
  <c r="B54" i="3"/>
  <c r="D53" i="3"/>
  <c r="D45" i="3"/>
  <c r="D43" i="3"/>
  <c r="D28" i="3"/>
  <c r="D19" i="3"/>
  <c r="D20" i="3"/>
  <c r="D2" i="3" s="1"/>
  <c r="D21" i="3"/>
  <c r="D3" i="3" s="1"/>
  <c r="D22" i="3"/>
  <c r="D4" i="3" s="1"/>
  <c r="D13" i="3" s="1"/>
  <c r="D45" i="4" s="1"/>
  <c r="D23" i="3"/>
  <c r="D5" i="3" s="1"/>
  <c r="D14" i="3" s="1"/>
  <c r="D88" i="4" s="1"/>
  <c r="D24" i="3"/>
  <c r="D6" i="3" s="1"/>
  <c r="D15" i="3" s="1"/>
  <c r="D67" i="4" s="1"/>
  <c r="T30" i="56" s="1"/>
  <c r="D25" i="3"/>
  <c r="D7" i="3" s="1"/>
  <c r="D16" i="3" s="1"/>
  <c r="D55" i="4" s="1"/>
  <c r="F32" i="56" s="1"/>
  <c r="D10" i="3"/>
  <c r="C10" i="3"/>
  <c r="D29" i="3"/>
  <c r="W16" i="56"/>
  <c r="W15" i="56"/>
  <c r="W14" i="56"/>
  <c r="W13" i="56"/>
  <c r="W10" i="56"/>
  <c r="W7" i="56"/>
  <c r="W6" i="56"/>
  <c r="D1" i="1"/>
  <c r="B393" i="12"/>
  <c r="V22" i="46"/>
  <c r="V20" i="46"/>
  <c r="V19" i="46"/>
  <c r="V18" i="46"/>
  <c r="R22" i="46"/>
  <c r="O22" i="46"/>
  <c r="K22" i="46"/>
  <c r="H22" i="46"/>
  <c r="B22" i="46"/>
  <c r="H474" i="12"/>
  <c r="K22" i="55" s="1"/>
  <c r="I372" i="12" l="1"/>
  <c r="I394" i="12"/>
  <c r="G19" i="57" s="1"/>
  <c r="I448" i="12"/>
  <c r="G21" i="57" s="1"/>
  <c r="I17" i="3"/>
  <c r="I453" i="12"/>
  <c r="I421" i="12"/>
  <c r="G20" i="57" s="1"/>
  <c r="I426" i="12"/>
  <c r="I367" i="12"/>
  <c r="G18" i="57" s="1"/>
  <c r="I399" i="12"/>
  <c r="I7" i="57"/>
  <c r="D6" i="57"/>
  <c r="I4" i="1"/>
  <c r="S4" i="1" s="1"/>
  <c r="S3" i="1" s="1"/>
  <c r="I22" i="4"/>
  <c r="D35" i="57" s="1"/>
  <c r="D347" i="12"/>
  <c r="AB29" i="56" s="1"/>
  <c r="D308" i="4"/>
  <c r="D309" i="4" s="1"/>
  <c r="M13" i="56" s="1"/>
  <c r="I2" i="4"/>
  <c r="C15" i="57" s="1"/>
  <c r="I331" i="12"/>
  <c r="K62" i="57" s="1"/>
  <c r="I475" i="12"/>
  <c r="G22" i="57" s="1"/>
  <c r="J22" i="56"/>
  <c r="F31" i="57"/>
  <c r="H94" i="57"/>
  <c r="I6" i="4"/>
  <c r="C14" i="57" s="1"/>
  <c r="I25" i="4"/>
  <c r="R26" i="57" s="1"/>
  <c r="J22" i="57"/>
  <c r="I9" i="4"/>
  <c r="D27" i="57" s="1"/>
  <c r="I24" i="4"/>
  <c r="D37" i="57" s="1"/>
  <c r="Q20" i="57"/>
  <c r="I4" i="4"/>
  <c r="C12" i="57" s="1"/>
  <c r="I27" i="4"/>
  <c r="R28" i="57" s="1"/>
  <c r="I16" i="4"/>
  <c r="D33" i="57" s="1"/>
  <c r="I5" i="4"/>
  <c r="C13" i="57" s="1"/>
  <c r="I23" i="4"/>
  <c r="D36" i="57" s="1"/>
  <c r="I2" i="11"/>
  <c r="P9" i="57"/>
  <c r="I280" i="4"/>
  <c r="AB31" i="57" s="1"/>
  <c r="I278" i="4"/>
  <c r="I8" i="4"/>
  <c r="D26" i="57" s="1"/>
  <c r="I279" i="4"/>
  <c r="I5" i="57"/>
  <c r="I14" i="4"/>
  <c r="D32" i="57" s="1"/>
  <c r="I37" i="4"/>
  <c r="I9" i="57" s="1"/>
  <c r="I29" i="4"/>
  <c r="R30" i="57" s="1"/>
  <c r="I277" i="12"/>
  <c r="H48" i="57" s="1"/>
  <c r="C6" i="56"/>
  <c r="D2" i="2"/>
  <c r="D16" i="2" s="1"/>
  <c r="D3" i="1" s="1"/>
  <c r="D8" i="56"/>
  <c r="D70" i="4"/>
  <c r="D39" i="4" s="1"/>
  <c r="B94" i="56" s="1"/>
  <c r="N1" i="1"/>
  <c r="B277" i="12"/>
  <c r="H48" i="46" s="1"/>
  <c r="D274" i="12"/>
  <c r="X62" i="56" s="1"/>
  <c r="H48" i="56"/>
  <c r="G274" i="12"/>
  <c r="X62" i="54" s="1"/>
  <c r="H48" i="54"/>
  <c r="H274" i="12"/>
  <c r="X62" i="55" s="1"/>
  <c r="H48" i="55"/>
  <c r="E274" i="12"/>
  <c r="X62" i="52" s="1"/>
  <c r="H48" i="52"/>
  <c r="F274" i="12"/>
  <c r="X62" i="53" s="1"/>
  <c r="H48" i="53"/>
  <c r="C273" i="12"/>
  <c r="C277" i="12" s="1"/>
  <c r="B274" i="12"/>
  <c r="X62" i="46" s="1"/>
  <c r="D368" i="12"/>
  <c r="D72" i="11"/>
  <c r="B108" i="56" s="1"/>
  <c r="I94" i="56"/>
  <c r="D422" i="12"/>
  <c r="J20" i="56" s="1"/>
  <c r="Q9" i="56"/>
  <c r="D449" i="12"/>
  <c r="J21" i="56" s="1"/>
  <c r="P7" i="56"/>
  <c r="D65" i="4"/>
  <c r="T28" i="56" s="1"/>
  <c r="D53" i="4"/>
  <c r="D12" i="4" s="1"/>
  <c r="D30" i="56" s="1"/>
  <c r="D4" i="4"/>
  <c r="C12" i="56" s="1"/>
  <c r="E12" i="56"/>
  <c r="D12" i="3"/>
  <c r="F6" i="56"/>
  <c r="D54" i="4"/>
  <c r="F31" i="56" s="1"/>
  <c r="D94" i="4"/>
  <c r="D95" i="4" s="1"/>
  <c r="D64" i="4"/>
  <c r="T27" i="56" s="1"/>
  <c r="D52" i="4"/>
  <c r="D63" i="4"/>
  <c r="T26" i="56" s="1"/>
  <c r="D14" i="4"/>
  <c r="D32" i="56" s="1"/>
  <c r="D62" i="4"/>
  <c r="F37" i="56" s="1"/>
  <c r="D50" i="4"/>
  <c r="F27" i="56" s="1"/>
  <c r="D61" i="4"/>
  <c r="F36" i="56" s="1"/>
  <c r="C8" i="56"/>
  <c r="D60" i="4"/>
  <c r="F35" i="56" s="1"/>
  <c r="D47" i="4"/>
  <c r="C7" i="56"/>
  <c r="D59" i="4"/>
  <c r="D20" i="4" s="1"/>
  <c r="D7" i="56"/>
  <c r="F8" i="56"/>
  <c r="D42" i="4"/>
  <c r="E15" i="56" s="1"/>
  <c r="D58" i="4"/>
  <c r="D18" i="4" s="1"/>
  <c r="F7" i="56"/>
  <c r="G8" i="56"/>
  <c r="D57" i="4"/>
  <c r="F33" i="56" s="1"/>
  <c r="G7" i="56"/>
  <c r="D56" i="4"/>
  <c r="D15" i="4" s="1"/>
  <c r="H32" i="56"/>
  <c r="H28" i="56"/>
  <c r="V27" i="56"/>
  <c r="D94" i="56"/>
  <c r="D29" i="4"/>
  <c r="R30" i="56" s="1"/>
  <c r="D11" i="3"/>
  <c r="D8" i="3"/>
  <c r="D26" i="3"/>
  <c r="M9" i="1"/>
  <c r="O9" i="1"/>
  <c r="P9" i="1"/>
  <c r="Q9" i="1"/>
  <c r="R9" i="1"/>
  <c r="M11" i="1"/>
  <c r="O11" i="1"/>
  <c r="P11" i="1"/>
  <c r="Q11" i="1"/>
  <c r="R11" i="1"/>
  <c r="L11" i="1"/>
  <c r="L9" i="1"/>
  <c r="M7" i="1"/>
  <c r="O7" i="1"/>
  <c r="P7" i="1"/>
  <c r="Q7" i="1"/>
  <c r="R7" i="1"/>
  <c r="M8" i="1"/>
  <c r="O8" i="1"/>
  <c r="P8" i="1"/>
  <c r="Q8" i="1"/>
  <c r="R8" i="1"/>
  <c r="M13" i="1"/>
  <c r="O13" i="1"/>
  <c r="P13" i="1"/>
  <c r="Q13" i="1"/>
  <c r="R13" i="1"/>
  <c r="L13" i="1"/>
  <c r="L8" i="1"/>
  <c r="L7" i="1"/>
  <c r="C64" i="50"/>
  <c r="C56" i="50"/>
  <c r="C49" i="50"/>
  <c r="F171" i="4"/>
  <c r="J13" i="2"/>
  <c r="I424" i="12" l="1"/>
  <c r="I418" i="12" s="1"/>
  <c r="E20" i="57" s="1"/>
  <c r="Q21" i="57"/>
  <c r="Q19" i="57"/>
  <c r="Q18" i="57"/>
  <c r="D280" i="4"/>
  <c r="AB31" i="56" s="1"/>
  <c r="D277" i="4"/>
  <c r="N26" i="56" s="1"/>
  <c r="D4" i="1"/>
  <c r="N4" i="1" s="1"/>
  <c r="N3" i="1" s="1"/>
  <c r="I478" i="12"/>
  <c r="I472" i="12" s="1"/>
  <c r="E22" i="57" s="1"/>
  <c r="D278" i="4"/>
  <c r="N28" i="56" s="1"/>
  <c r="I480" i="12"/>
  <c r="Q22" i="57"/>
  <c r="O62" i="57"/>
  <c r="M62" i="57" s="1"/>
  <c r="I62" i="57"/>
  <c r="B56" i="50"/>
  <c r="B65" i="50"/>
  <c r="B60" i="50"/>
  <c r="AB29" i="57"/>
  <c r="I28" i="4"/>
  <c r="R29" i="57" s="1"/>
  <c r="N28" i="57"/>
  <c r="I10" i="4"/>
  <c r="D28" i="57" s="1"/>
  <c r="I30" i="4"/>
  <c r="R31" i="57" s="1"/>
  <c r="I5" i="56"/>
  <c r="D24" i="4"/>
  <c r="D37" i="56" s="1"/>
  <c r="I329" i="12"/>
  <c r="I332" i="12" s="1"/>
  <c r="D341" i="12"/>
  <c r="D421" i="12"/>
  <c r="G20" i="56" s="1"/>
  <c r="D367" i="12"/>
  <c r="G18" i="56" s="1"/>
  <c r="D394" i="12"/>
  <c r="D331" i="12"/>
  <c r="K62" i="56" s="1"/>
  <c r="D448" i="12"/>
  <c r="G21" i="56" s="1"/>
  <c r="D329" i="12"/>
  <c r="E329" i="12"/>
  <c r="G62" i="52" s="1"/>
  <c r="F329" i="12"/>
  <c r="G62" i="53" s="1"/>
  <c r="H329" i="12"/>
  <c r="G62" i="55" s="1"/>
  <c r="C274" i="12"/>
  <c r="X62" i="51" s="1"/>
  <c r="G329" i="12"/>
  <c r="G62" i="54" s="1"/>
  <c r="J18" i="56"/>
  <c r="D27" i="4"/>
  <c r="R28" i="56" s="1"/>
  <c r="D26" i="4"/>
  <c r="R27" i="56" s="1"/>
  <c r="D23" i="4"/>
  <c r="D36" i="56" s="1"/>
  <c r="F30" i="56"/>
  <c r="D9" i="4"/>
  <c r="D27" i="56" s="1"/>
  <c r="D25" i="4"/>
  <c r="R26" i="56" s="1"/>
  <c r="D11" i="4"/>
  <c r="D29" i="56" s="1"/>
  <c r="F29" i="56"/>
  <c r="E14" i="56"/>
  <c r="D6" i="4"/>
  <c r="C14" i="56" s="1"/>
  <c r="D38" i="4"/>
  <c r="B93" i="56" s="1"/>
  <c r="D22" i="4"/>
  <c r="D35" i="56" s="1"/>
  <c r="D17" i="3"/>
  <c r="D51" i="4"/>
  <c r="D6" i="56"/>
  <c r="D68" i="4"/>
  <c r="D46" i="4"/>
  <c r="D49" i="4"/>
  <c r="G6" i="56"/>
  <c r="D66" i="4"/>
  <c r="D37" i="4"/>
  <c r="I9" i="56" s="1"/>
  <c r="H94" i="56"/>
  <c r="P9" i="56"/>
  <c r="H93" i="56"/>
  <c r="D2" i="11"/>
  <c r="D16" i="4"/>
  <c r="D33" i="56" s="1"/>
  <c r="D2" i="4"/>
  <c r="C15" i="56" s="1"/>
  <c r="D13" i="4"/>
  <c r="D31" i="56" s="1"/>
  <c r="B49" i="50"/>
  <c r="B50" i="50"/>
  <c r="B51" i="50"/>
  <c r="B52" i="50"/>
  <c r="B64" i="50"/>
  <c r="B54" i="50"/>
  <c r="B53" i="50"/>
  <c r="B58" i="50"/>
  <c r="K106" i="56" l="1"/>
  <c r="D132" i="11"/>
  <c r="K114" i="56" s="1"/>
  <c r="D120" i="11"/>
  <c r="K108" i="56" s="1"/>
  <c r="G22" i="56"/>
  <c r="E22" i="56"/>
  <c r="Q22" i="56"/>
  <c r="D333" i="12"/>
  <c r="R62" i="56" s="1"/>
  <c r="D424" i="12"/>
  <c r="D418" i="12" s="1"/>
  <c r="E20" i="56" s="1"/>
  <c r="G62" i="57"/>
  <c r="I333" i="12"/>
  <c r="R62" i="57" s="1"/>
  <c r="D451" i="12"/>
  <c r="D445" i="12" s="1"/>
  <c r="E21" i="56" s="1"/>
  <c r="D370" i="12"/>
  <c r="D364" i="12" s="1"/>
  <c r="E18" i="56" s="1"/>
  <c r="D453" i="12"/>
  <c r="Q21" i="56"/>
  <c r="O62" i="56"/>
  <c r="M62" i="56" s="1"/>
  <c r="I62" i="56"/>
  <c r="D372" i="12"/>
  <c r="Q18" i="56"/>
  <c r="Q20" i="56"/>
  <c r="D426" i="12"/>
  <c r="G19" i="56"/>
  <c r="D397" i="12"/>
  <c r="D391" i="12" s="1"/>
  <c r="E19" i="56" s="1"/>
  <c r="Q19" i="56"/>
  <c r="D399" i="12"/>
  <c r="M7" i="56"/>
  <c r="I7" i="56"/>
  <c r="G62" i="56"/>
  <c r="D332" i="12"/>
  <c r="H48" i="51"/>
  <c r="C329" i="12"/>
  <c r="G62" i="51" s="1"/>
  <c r="D56" i="11"/>
  <c r="B100" i="56" s="1"/>
  <c r="D76" i="11"/>
  <c r="B110" i="56" s="1"/>
  <c r="F26" i="56"/>
  <c r="D8" i="4"/>
  <c r="D26" i="56" s="1"/>
  <c r="T31" i="56"/>
  <c r="D30" i="4"/>
  <c r="R31" i="56" s="1"/>
  <c r="E13" i="56"/>
  <c r="D5" i="4"/>
  <c r="C13" i="56" s="1"/>
  <c r="F28" i="56"/>
  <c r="D10" i="4"/>
  <c r="D28" i="56" s="1"/>
  <c r="T29" i="56"/>
  <c r="D28" i="4"/>
  <c r="R29" i="56" s="1"/>
  <c r="J7" i="3"/>
  <c r="B21" i="50" s="1"/>
  <c r="B27" i="50" s="1"/>
  <c r="J6" i="3"/>
  <c r="B20" i="50" s="1"/>
  <c r="B26" i="50" s="1"/>
  <c r="J5" i="3"/>
  <c r="B19" i="50" s="1"/>
  <c r="B25" i="50" s="1"/>
  <c r="J4" i="3"/>
  <c r="B18" i="50" s="1"/>
  <c r="B24" i="50" s="1"/>
  <c r="J3" i="3"/>
  <c r="B17" i="50" s="1"/>
  <c r="B23" i="50" s="1"/>
  <c r="J2" i="3"/>
  <c r="K20" i="3"/>
  <c r="K2" i="3" s="1"/>
  <c r="C16" i="50" s="1"/>
  <c r="K21" i="3"/>
  <c r="K3" i="3" s="1"/>
  <c r="C17" i="50" s="1"/>
  <c r="K22" i="3"/>
  <c r="K23" i="3"/>
  <c r="K24" i="3"/>
  <c r="K25" i="3"/>
  <c r="K7" i="3" s="1"/>
  <c r="C21" i="50" s="1"/>
  <c r="J1" i="1"/>
  <c r="K1" i="1"/>
  <c r="K8" i="2"/>
  <c r="J8" i="2"/>
  <c r="K13" i="2"/>
  <c r="K3" i="2"/>
  <c r="K29" i="3" s="1"/>
  <c r="J3" i="2"/>
  <c r="C4" i="11"/>
  <c r="B96" i="46"/>
  <c r="S92" i="46"/>
  <c r="R92" i="46"/>
  <c r="Q92" i="46"/>
  <c r="B153" i="55"/>
  <c r="B152" i="55"/>
  <c r="B151" i="55"/>
  <c r="B150" i="55"/>
  <c r="B149" i="55"/>
  <c r="B147" i="55"/>
  <c r="K143" i="55"/>
  <c r="K142" i="55"/>
  <c r="K141" i="55"/>
  <c r="K140" i="55"/>
  <c r="K139" i="55"/>
  <c r="H139" i="55"/>
  <c r="K138" i="55"/>
  <c r="Q94" i="55"/>
  <c r="P94" i="55"/>
  <c r="O94" i="55"/>
  <c r="N94" i="55"/>
  <c r="E94" i="55"/>
  <c r="D94" i="55"/>
  <c r="B94" i="55"/>
  <c r="K93" i="55"/>
  <c r="E93" i="55"/>
  <c r="D93" i="55"/>
  <c r="B93" i="55"/>
  <c r="Q92" i="55"/>
  <c r="P92" i="55"/>
  <c r="O92" i="55"/>
  <c r="N92" i="55"/>
  <c r="N78" i="55"/>
  <c r="J78" i="55"/>
  <c r="B78" i="55"/>
  <c r="N77" i="55"/>
  <c r="J77" i="55"/>
  <c r="B77" i="55"/>
  <c r="N76" i="55"/>
  <c r="J76" i="55"/>
  <c r="B76" i="55"/>
  <c r="N75" i="55"/>
  <c r="J75" i="55"/>
  <c r="B75" i="55"/>
  <c r="N74" i="55"/>
  <c r="J74" i="55"/>
  <c r="B74" i="55"/>
  <c r="N73" i="55"/>
  <c r="J73" i="55"/>
  <c r="B73" i="55"/>
  <c r="N72" i="55"/>
  <c r="J72" i="55"/>
  <c r="B72" i="55"/>
  <c r="N71" i="55"/>
  <c r="J71" i="55"/>
  <c r="B71" i="55"/>
  <c r="N70" i="55"/>
  <c r="J70" i="55"/>
  <c r="B70" i="55"/>
  <c r="N69" i="55"/>
  <c r="J69" i="55"/>
  <c r="B69" i="55"/>
  <c r="N68" i="55"/>
  <c r="J68" i="55"/>
  <c r="B68" i="55"/>
  <c r="N67" i="55"/>
  <c r="J67" i="55"/>
  <c r="B67" i="55"/>
  <c r="N65" i="55"/>
  <c r="J65" i="55"/>
  <c r="B65" i="55"/>
  <c r="I37" i="55"/>
  <c r="I36" i="55"/>
  <c r="I35" i="55"/>
  <c r="I34" i="55"/>
  <c r="F34" i="55"/>
  <c r="D34" i="55"/>
  <c r="I33" i="55"/>
  <c r="I32" i="55"/>
  <c r="W31" i="55"/>
  <c r="I31" i="55"/>
  <c r="W30" i="55"/>
  <c r="I30" i="55"/>
  <c r="W29" i="55"/>
  <c r="I29" i="55"/>
  <c r="W28" i="55"/>
  <c r="I28" i="55"/>
  <c r="W27" i="55"/>
  <c r="I27" i="55"/>
  <c r="W26" i="55"/>
  <c r="I26" i="55"/>
  <c r="H15" i="55"/>
  <c r="H14" i="55"/>
  <c r="AA16" i="55"/>
  <c r="H13" i="55"/>
  <c r="AA15" i="55"/>
  <c r="H12" i="55"/>
  <c r="AA14" i="55"/>
  <c r="AA13" i="55"/>
  <c r="M9" i="55"/>
  <c r="AA10" i="55"/>
  <c r="AA7" i="55"/>
  <c r="V7" i="55"/>
  <c r="AA6" i="55"/>
  <c r="R3" i="55"/>
  <c r="M3" i="55"/>
  <c r="I3" i="55"/>
  <c r="D3" i="55"/>
  <c r="R2" i="55"/>
  <c r="I2" i="55"/>
  <c r="D2" i="55"/>
  <c r="I1" i="55"/>
  <c r="B153" i="54"/>
  <c r="B152" i="54"/>
  <c r="B151" i="54"/>
  <c r="B150" i="54"/>
  <c r="B149" i="54"/>
  <c r="B147" i="54"/>
  <c r="K143" i="54"/>
  <c r="K142" i="54"/>
  <c r="K141" i="54"/>
  <c r="K140" i="54"/>
  <c r="K139" i="54"/>
  <c r="H139" i="54"/>
  <c r="K138" i="54"/>
  <c r="Q94" i="54"/>
  <c r="P94" i="54"/>
  <c r="O94" i="54"/>
  <c r="N94" i="54"/>
  <c r="E94" i="54"/>
  <c r="E93" i="54"/>
  <c r="Q92" i="54"/>
  <c r="P92" i="54"/>
  <c r="O92" i="54"/>
  <c r="N92" i="54"/>
  <c r="N76" i="54"/>
  <c r="J76" i="54"/>
  <c r="B76" i="54"/>
  <c r="N75" i="54"/>
  <c r="J75" i="54"/>
  <c r="B75" i="54"/>
  <c r="N74" i="54"/>
  <c r="J74" i="54"/>
  <c r="B74" i="54"/>
  <c r="N73" i="54"/>
  <c r="J73" i="54"/>
  <c r="B73" i="54"/>
  <c r="N72" i="54"/>
  <c r="J72" i="54"/>
  <c r="B72" i="54"/>
  <c r="N71" i="54"/>
  <c r="J71" i="54"/>
  <c r="B71" i="54"/>
  <c r="N70" i="54"/>
  <c r="J70" i="54"/>
  <c r="B70" i="54"/>
  <c r="N69" i="54"/>
  <c r="J69" i="54"/>
  <c r="B69" i="54"/>
  <c r="N68" i="54"/>
  <c r="J68" i="54"/>
  <c r="B68" i="54"/>
  <c r="N67" i="54"/>
  <c r="J67" i="54"/>
  <c r="B67" i="54"/>
  <c r="N65" i="54"/>
  <c r="J65" i="54"/>
  <c r="B65" i="54"/>
  <c r="I37" i="54"/>
  <c r="I36" i="54"/>
  <c r="I35" i="54"/>
  <c r="I34" i="54"/>
  <c r="F34" i="54"/>
  <c r="D34" i="54"/>
  <c r="I33" i="54"/>
  <c r="I32" i="54"/>
  <c r="W31" i="54"/>
  <c r="I31" i="54"/>
  <c r="W30" i="54"/>
  <c r="I30" i="54"/>
  <c r="W29" i="54"/>
  <c r="I29" i="54"/>
  <c r="W28" i="54"/>
  <c r="I28" i="54"/>
  <c r="W27" i="54"/>
  <c r="I27" i="54"/>
  <c r="W26" i="54"/>
  <c r="I26" i="54"/>
  <c r="H15" i="54"/>
  <c r="H14" i="54"/>
  <c r="AA16" i="54"/>
  <c r="H13" i="54"/>
  <c r="AA15" i="54"/>
  <c r="H12" i="54"/>
  <c r="AA14" i="54"/>
  <c r="AA13" i="54"/>
  <c r="M9" i="54"/>
  <c r="AA10" i="54"/>
  <c r="AA7" i="54"/>
  <c r="V7" i="54"/>
  <c r="AA6" i="54"/>
  <c r="R3" i="54"/>
  <c r="M3" i="54"/>
  <c r="I3" i="54"/>
  <c r="D3" i="54"/>
  <c r="R2" i="54"/>
  <c r="I2" i="54"/>
  <c r="D2" i="54"/>
  <c r="I1" i="54"/>
  <c r="B153" i="53"/>
  <c r="B152" i="53"/>
  <c r="B151" i="53"/>
  <c r="B150" i="53"/>
  <c r="B149" i="53"/>
  <c r="B147" i="53"/>
  <c r="K143" i="53"/>
  <c r="K142" i="53"/>
  <c r="K141" i="53"/>
  <c r="K140" i="53"/>
  <c r="K139" i="53"/>
  <c r="H139" i="53"/>
  <c r="K138" i="53"/>
  <c r="Q94" i="53"/>
  <c r="P94" i="53"/>
  <c r="O94" i="53"/>
  <c r="N94" i="53"/>
  <c r="E94" i="53"/>
  <c r="E93" i="53"/>
  <c r="Q92" i="53"/>
  <c r="O92" i="53"/>
  <c r="N92" i="53"/>
  <c r="N78" i="53"/>
  <c r="J78" i="53"/>
  <c r="B78" i="53"/>
  <c r="N77" i="53"/>
  <c r="J77" i="53"/>
  <c r="B77" i="53"/>
  <c r="N76" i="53"/>
  <c r="J76" i="53"/>
  <c r="B76" i="53"/>
  <c r="N75" i="53"/>
  <c r="J75" i="53"/>
  <c r="B75" i="53"/>
  <c r="N74" i="53"/>
  <c r="J74" i="53"/>
  <c r="B74" i="53"/>
  <c r="N73" i="53"/>
  <c r="J73" i="53"/>
  <c r="B73" i="53"/>
  <c r="N72" i="53"/>
  <c r="J72" i="53"/>
  <c r="B72" i="53"/>
  <c r="N71" i="53"/>
  <c r="J71" i="53"/>
  <c r="B71" i="53"/>
  <c r="N70" i="53"/>
  <c r="J70" i="53"/>
  <c r="B70" i="53"/>
  <c r="N69" i="53"/>
  <c r="J69" i="53"/>
  <c r="B69" i="53"/>
  <c r="N68" i="53"/>
  <c r="J68" i="53"/>
  <c r="B68" i="53"/>
  <c r="N67" i="53"/>
  <c r="J67" i="53"/>
  <c r="B67" i="53"/>
  <c r="N65" i="53"/>
  <c r="J65" i="53"/>
  <c r="B65" i="53"/>
  <c r="I37" i="53"/>
  <c r="I36" i="53"/>
  <c r="I35" i="53"/>
  <c r="I34" i="53"/>
  <c r="I33" i="53"/>
  <c r="I32" i="53"/>
  <c r="W31" i="53"/>
  <c r="I31" i="53"/>
  <c r="W30" i="53"/>
  <c r="I30" i="53"/>
  <c r="W29" i="53"/>
  <c r="I29" i="53"/>
  <c r="W28" i="53"/>
  <c r="I28" i="53"/>
  <c r="W27" i="53"/>
  <c r="I27" i="53"/>
  <c r="W26" i="53"/>
  <c r="I26" i="53"/>
  <c r="H15" i="53"/>
  <c r="H14" i="53"/>
  <c r="AA16" i="53"/>
  <c r="H13" i="53"/>
  <c r="AA15" i="53"/>
  <c r="H12" i="53"/>
  <c r="AA14" i="53"/>
  <c r="AA13" i="53"/>
  <c r="M9" i="53"/>
  <c r="AA10" i="53"/>
  <c r="AA7" i="53"/>
  <c r="V7" i="53"/>
  <c r="AA6" i="53"/>
  <c r="R3" i="53"/>
  <c r="M3" i="53"/>
  <c r="I3" i="53"/>
  <c r="D3" i="53"/>
  <c r="R2" i="53"/>
  <c r="I2" i="53"/>
  <c r="D2" i="53"/>
  <c r="I1" i="53"/>
  <c r="B153" i="52"/>
  <c r="B152" i="52"/>
  <c r="B151" i="52"/>
  <c r="B150" i="52"/>
  <c r="B149" i="52"/>
  <c r="B147" i="52"/>
  <c r="K143" i="52"/>
  <c r="K142" i="52"/>
  <c r="K141" i="52"/>
  <c r="K140" i="52"/>
  <c r="K139" i="52"/>
  <c r="H139" i="52"/>
  <c r="K138" i="52"/>
  <c r="Q94" i="52"/>
  <c r="P94" i="52"/>
  <c r="O94" i="52"/>
  <c r="N94" i="52"/>
  <c r="E94" i="52"/>
  <c r="D94" i="52"/>
  <c r="B94" i="52"/>
  <c r="K93" i="52"/>
  <c r="E93" i="52"/>
  <c r="D93" i="52"/>
  <c r="B93" i="52"/>
  <c r="Q92" i="52"/>
  <c r="P92" i="52"/>
  <c r="O92" i="52"/>
  <c r="N92" i="52"/>
  <c r="N76" i="52"/>
  <c r="J76" i="52"/>
  <c r="B76" i="52"/>
  <c r="N75" i="52"/>
  <c r="J75" i="52"/>
  <c r="B75" i="52"/>
  <c r="N74" i="52"/>
  <c r="J74" i="52"/>
  <c r="B74" i="52"/>
  <c r="N73" i="52"/>
  <c r="J73" i="52"/>
  <c r="B73" i="52"/>
  <c r="N72" i="52"/>
  <c r="J72" i="52"/>
  <c r="B72" i="52"/>
  <c r="N71" i="52"/>
  <c r="J71" i="52"/>
  <c r="B71" i="52"/>
  <c r="N70" i="52"/>
  <c r="J70" i="52"/>
  <c r="B70" i="52"/>
  <c r="N69" i="52"/>
  <c r="J69" i="52"/>
  <c r="B69" i="52"/>
  <c r="N68" i="52"/>
  <c r="J68" i="52"/>
  <c r="B68" i="52"/>
  <c r="N67" i="52"/>
  <c r="J67" i="52"/>
  <c r="B67" i="52"/>
  <c r="N65" i="52"/>
  <c r="J65" i="52"/>
  <c r="B65" i="52"/>
  <c r="I37" i="52"/>
  <c r="I36" i="52"/>
  <c r="I35" i="52"/>
  <c r="I34" i="52"/>
  <c r="F34" i="52"/>
  <c r="D34" i="52"/>
  <c r="I33" i="52"/>
  <c r="I32" i="52"/>
  <c r="W31" i="52"/>
  <c r="I31" i="52"/>
  <c r="W30" i="52"/>
  <c r="I30" i="52"/>
  <c r="W29" i="52"/>
  <c r="I29" i="52"/>
  <c r="W28" i="52"/>
  <c r="I28" i="52"/>
  <c r="W27" i="52"/>
  <c r="I27" i="52"/>
  <c r="W26" i="52"/>
  <c r="I26" i="52"/>
  <c r="H15" i="52"/>
  <c r="H14" i="52"/>
  <c r="AA16" i="52"/>
  <c r="H13" i="52"/>
  <c r="AA15" i="52"/>
  <c r="H12" i="52"/>
  <c r="AA14" i="52"/>
  <c r="AA13" i="52"/>
  <c r="M9" i="52"/>
  <c r="AA10" i="52"/>
  <c r="AA7" i="52"/>
  <c r="V7" i="52"/>
  <c r="AA6" i="52"/>
  <c r="R3" i="52"/>
  <c r="M3" i="52"/>
  <c r="I3" i="52"/>
  <c r="D3" i="52"/>
  <c r="R2" i="52"/>
  <c r="I2" i="52"/>
  <c r="D2" i="52"/>
  <c r="I1" i="52"/>
  <c r="W16" i="55"/>
  <c r="W15" i="55"/>
  <c r="W14" i="55"/>
  <c r="W13" i="55"/>
  <c r="W10" i="55"/>
  <c r="W7" i="55"/>
  <c r="W6" i="55"/>
  <c r="W16" i="54"/>
  <c r="W15" i="54"/>
  <c r="W14" i="54"/>
  <c r="W13" i="54"/>
  <c r="W10" i="54"/>
  <c r="W7" i="54"/>
  <c r="W6" i="54"/>
  <c r="W16" i="53"/>
  <c r="W15" i="53"/>
  <c r="W14" i="53"/>
  <c r="W13" i="53"/>
  <c r="W10" i="53"/>
  <c r="W7" i="53"/>
  <c r="W6" i="53"/>
  <c r="W16" i="52"/>
  <c r="W15" i="52"/>
  <c r="W14" i="52"/>
  <c r="W13" i="52"/>
  <c r="W10" i="52"/>
  <c r="W7" i="52"/>
  <c r="W6" i="52"/>
  <c r="B147" i="51"/>
  <c r="K143" i="51"/>
  <c r="K142" i="51"/>
  <c r="K141" i="51"/>
  <c r="K140" i="51"/>
  <c r="K139" i="51"/>
  <c r="H139" i="51"/>
  <c r="K138" i="51"/>
  <c r="Q94" i="51"/>
  <c r="P94" i="51"/>
  <c r="O94" i="51"/>
  <c r="N94" i="51"/>
  <c r="E94" i="51"/>
  <c r="E93" i="51"/>
  <c r="Q92" i="51"/>
  <c r="P92" i="51"/>
  <c r="O92" i="51"/>
  <c r="N92" i="51"/>
  <c r="B84" i="51"/>
  <c r="I83" i="51"/>
  <c r="B83" i="51"/>
  <c r="I82" i="51"/>
  <c r="B82" i="51"/>
  <c r="I81" i="51"/>
  <c r="B81" i="51"/>
  <c r="B80" i="51"/>
  <c r="N79" i="51"/>
  <c r="J79" i="51"/>
  <c r="B79" i="51"/>
  <c r="N78" i="51"/>
  <c r="J78" i="51"/>
  <c r="B78" i="51"/>
  <c r="N77" i="51"/>
  <c r="J77" i="51"/>
  <c r="B77" i="51"/>
  <c r="N76" i="51"/>
  <c r="J76" i="51"/>
  <c r="B76" i="51"/>
  <c r="N75" i="51"/>
  <c r="J75" i="51"/>
  <c r="B75" i="51"/>
  <c r="N74" i="51"/>
  <c r="J74" i="51"/>
  <c r="B74" i="51"/>
  <c r="N73" i="51"/>
  <c r="J73" i="51"/>
  <c r="B73" i="51"/>
  <c r="N72" i="51"/>
  <c r="J72" i="51"/>
  <c r="B72" i="51"/>
  <c r="N71" i="51"/>
  <c r="J71" i="51"/>
  <c r="B71" i="51"/>
  <c r="N70" i="51"/>
  <c r="J70" i="51"/>
  <c r="B70" i="51"/>
  <c r="N69" i="51"/>
  <c r="J69" i="51"/>
  <c r="B69" i="51"/>
  <c r="N68" i="51"/>
  <c r="J68" i="51"/>
  <c r="B68" i="51"/>
  <c r="N67" i="51"/>
  <c r="J67" i="51"/>
  <c r="B67" i="51"/>
  <c r="N65" i="51"/>
  <c r="J65" i="51"/>
  <c r="B65" i="51"/>
  <c r="I37" i="51"/>
  <c r="I36" i="51"/>
  <c r="I35" i="51"/>
  <c r="I34" i="51"/>
  <c r="F34" i="51"/>
  <c r="D34" i="51"/>
  <c r="I33" i="51"/>
  <c r="I32" i="51"/>
  <c r="W31" i="51"/>
  <c r="I31" i="51"/>
  <c r="W30" i="51"/>
  <c r="I30" i="51"/>
  <c r="W29" i="51"/>
  <c r="I29" i="51"/>
  <c r="W28" i="51"/>
  <c r="I28" i="51"/>
  <c r="W27" i="51"/>
  <c r="I27" i="51"/>
  <c r="W26" i="51"/>
  <c r="I26" i="51"/>
  <c r="H15" i="51"/>
  <c r="H14" i="51"/>
  <c r="AA16" i="51"/>
  <c r="H13" i="51"/>
  <c r="AA15" i="51"/>
  <c r="H12" i="51"/>
  <c r="AA14" i="51"/>
  <c r="AA13" i="51"/>
  <c r="M9" i="51"/>
  <c r="AA10" i="51"/>
  <c r="AA7" i="51"/>
  <c r="V7" i="51"/>
  <c r="AA6" i="51"/>
  <c r="R3" i="51"/>
  <c r="M3" i="51"/>
  <c r="I3" i="51"/>
  <c r="D3" i="51"/>
  <c r="R2" i="51"/>
  <c r="I2" i="51"/>
  <c r="D2" i="51"/>
  <c r="I1" i="51"/>
  <c r="W16" i="51"/>
  <c r="W15" i="51"/>
  <c r="W14" i="51"/>
  <c r="W13" i="51"/>
  <c r="W10" i="51"/>
  <c r="W7" i="51"/>
  <c r="W6" i="51"/>
  <c r="B147" i="46"/>
  <c r="K143" i="46"/>
  <c r="K142" i="46"/>
  <c r="K141" i="46"/>
  <c r="K140" i="46"/>
  <c r="K139" i="46"/>
  <c r="K138" i="46"/>
  <c r="H139" i="46"/>
  <c r="B129" i="46"/>
  <c r="F97" i="46"/>
  <c r="Q94" i="46"/>
  <c r="P94" i="46"/>
  <c r="O94" i="46"/>
  <c r="N94" i="46"/>
  <c r="E94" i="46"/>
  <c r="P92" i="46"/>
  <c r="O92" i="46"/>
  <c r="N92" i="46"/>
  <c r="E93" i="46"/>
  <c r="N80" i="46"/>
  <c r="J80" i="46"/>
  <c r="B80" i="46"/>
  <c r="N79" i="46"/>
  <c r="J79" i="46"/>
  <c r="B79" i="46"/>
  <c r="N78" i="46"/>
  <c r="J78" i="46"/>
  <c r="B78" i="46"/>
  <c r="N77" i="46"/>
  <c r="J77" i="46"/>
  <c r="B77" i="46"/>
  <c r="N76" i="46"/>
  <c r="J76" i="46"/>
  <c r="B76" i="46"/>
  <c r="N75" i="46"/>
  <c r="J75" i="46"/>
  <c r="B75" i="46"/>
  <c r="N74" i="46"/>
  <c r="J74" i="46"/>
  <c r="B74" i="46"/>
  <c r="N73" i="46"/>
  <c r="J73" i="46"/>
  <c r="B73" i="46"/>
  <c r="N72" i="46"/>
  <c r="J72" i="46"/>
  <c r="B72" i="46"/>
  <c r="N71" i="46"/>
  <c r="J71" i="46"/>
  <c r="B71" i="46"/>
  <c r="N70" i="46"/>
  <c r="J70" i="46"/>
  <c r="B70" i="46"/>
  <c r="N69" i="46"/>
  <c r="J69" i="46"/>
  <c r="B69" i="46"/>
  <c r="N68" i="46"/>
  <c r="J68" i="46"/>
  <c r="B68" i="46"/>
  <c r="N67" i="46"/>
  <c r="J67" i="46"/>
  <c r="B67" i="46"/>
  <c r="N65" i="46"/>
  <c r="J65" i="46"/>
  <c r="B65" i="46"/>
  <c r="E62" i="46"/>
  <c r="D62" i="46"/>
  <c r="C62" i="46"/>
  <c r="B62" i="46"/>
  <c r="C87" i="50"/>
  <c r="B149" i="51" s="1"/>
  <c r="B87" i="50"/>
  <c r="B149" i="46" s="1"/>
  <c r="B88" i="50"/>
  <c r="B150" i="46" s="1"/>
  <c r="C88" i="50"/>
  <c r="B150" i="51" s="1"/>
  <c r="K2" i="2"/>
  <c r="B153" i="51"/>
  <c r="B16" i="50" l="1"/>
  <c r="B22" i="50" s="1"/>
  <c r="B80" i="50" s="1"/>
  <c r="J308" i="4"/>
  <c r="J309" i="4" s="1"/>
  <c r="B29" i="50"/>
  <c r="B76" i="50"/>
  <c r="B71" i="50"/>
  <c r="T1" i="1"/>
  <c r="J1" i="2"/>
  <c r="U1" i="1"/>
  <c r="K1" i="2"/>
  <c r="K16" i="2"/>
  <c r="C59" i="50"/>
  <c r="C57" i="50"/>
  <c r="C62" i="50"/>
  <c r="C63" i="50"/>
  <c r="C61" i="50"/>
  <c r="B31" i="50"/>
  <c r="B28" i="50"/>
  <c r="B11" i="50"/>
  <c r="B30" i="50"/>
  <c r="B75" i="50"/>
  <c r="B67" i="50"/>
  <c r="K1" i="3"/>
  <c r="K10" i="3" s="1"/>
  <c r="K6" i="3"/>
  <c r="K5" i="3"/>
  <c r="K4" i="3"/>
  <c r="K16" i="3"/>
  <c r="K11" i="3"/>
  <c r="K26" i="3"/>
  <c r="C76" i="11"/>
  <c r="B110" i="51" s="1"/>
  <c r="B69" i="50" l="1"/>
  <c r="B66" i="50"/>
  <c r="B79" i="50" s="1"/>
  <c r="B78" i="50"/>
  <c r="C10" i="50"/>
  <c r="K3" i="1"/>
  <c r="K4" i="1" s="1"/>
  <c r="U4" i="1" s="1"/>
  <c r="U3" i="1" s="1"/>
  <c r="K15" i="3"/>
  <c r="C20" i="50"/>
  <c r="K8" i="3"/>
  <c r="K13" i="3"/>
  <c r="C18" i="50"/>
  <c r="K14" i="3"/>
  <c r="C19" i="50"/>
  <c r="K19" i="3"/>
  <c r="K28" i="3"/>
  <c r="K12" i="3"/>
  <c r="R21" i="46"/>
  <c r="R20" i="46"/>
  <c r="R19" i="46"/>
  <c r="R18" i="46"/>
  <c r="O20" i="46"/>
  <c r="O19" i="46"/>
  <c r="O18" i="46"/>
  <c r="H20" i="46"/>
  <c r="H19" i="46"/>
  <c r="H18" i="46"/>
  <c r="B21" i="46"/>
  <c r="B20" i="46"/>
  <c r="B18" i="46"/>
  <c r="V7" i="46"/>
  <c r="I37" i="46"/>
  <c r="I36" i="46"/>
  <c r="I35" i="46"/>
  <c r="I34" i="46"/>
  <c r="I33" i="46"/>
  <c r="I32" i="46"/>
  <c r="W31" i="46"/>
  <c r="I31" i="46"/>
  <c r="W30" i="46"/>
  <c r="I30" i="46"/>
  <c r="W29" i="46"/>
  <c r="I29" i="46"/>
  <c r="W28" i="46"/>
  <c r="I28" i="46"/>
  <c r="W27" i="46"/>
  <c r="I27" i="46"/>
  <c r="W26" i="46"/>
  <c r="I26" i="46"/>
  <c r="H15" i="46"/>
  <c r="H14" i="46"/>
  <c r="AA16" i="46"/>
  <c r="W16" i="46"/>
  <c r="H13" i="46"/>
  <c r="AA15" i="46"/>
  <c r="W15" i="46"/>
  <c r="H12" i="46"/>
  <c r="AA14" i="46"/>
  <c r="W14" i="46"/>
  <c r="AA13" i="46"/>
  <c r="W13" i="46"/>
  <c r="M9" i="46"/>
  <c r="AA10" i="46"/>
  <c r="W10" i="46"/>
  <c r="AA7" i="46"/>
  <c r="W7" i="46"/>
  <c r="AA6" i="46"/>
  <c r="W6" i="46"/>
  <c r="R3" i="46"/>
  <c r="M3" i="46"/>
  <c r="I3" i="46"/>
  <c r="D3" i="46"/>
  <c r="R2" i="46"/>
  <c r="I2" i="46"/>
  <c r="D2" i="46"/>
  <c r="I1" i="46"/>
  <c r="B77" i="50" l="1"/>
  <c r="B91" i="50" s="1"/>
  <c r="B90" i="50"/>
  <c r="B152" i="46" s="1"/>
  <c r="K17" i="3"/>
  <c r="B153" i="46" l="1"/>
  <c r="K93" i="51"/>
  <c r="F4" i="11"/>
  <c r="G4" i="11"/>
  <c r="B4" i="11"/>
  <c r="H447" i="12"/>
  <c r="K21" i="55" s="1"/>
  <c r="G447" i="12"/>
  <c r="K21" i="54" s="1"/>
  <c r="E447" i="12"/>
  <c r="K21" i="52" s="1"/>
  <c r="C447" i="12"/>
  <c r="K21" i="51" s="1"/>
  <c r="B447" i="12"/>
  <c r="K21" i="46" s="1"/>
  <c r="H420" i="12"/>
  <c r="K20" i="55" s="1"/>
  <c r="E420" i="12"/>
  <c r="K20" i="52" s="1"/>
  <c r="C420" i="12"/>
  <c r="K20" i="51" s="1"/>
  <c r="B420" i="12"/>
  <c r="K20" i="46" s="1"/>
  <c r="H393" i="12"/>
  <c r="K19" i="55" s="1"/>
  <c r="G393" i="12"/>
  <c r="K19" i="54" s="1"/>
  <c r="F393" i="12"/>
  <c r="K19" i="53" s="1"/>
  <c r="E393" i="12"/>
  <c r="K19" i="52" s="1"/>
  <c r="C393" i="12"/>
  <c r="K19" i="51" s="1"/>
  <c r="K19" i="46"/>
  <c r="C366" i="12"/>
  <c r="K18" i="51" s="1"/>
  <c r="E366" i="12"/>
  <c r="K18" i="52" s="1"/>
  <c r="F366" i="12"/>
  <c r="K18" i="53" s="1"/>
  <c r="G366" i="12"/>
  <c r="K18" i="54" s="1"/>
  <c r="H366" i="12"/>
  <c r="K18" i="55" s="1"/>
  <c r="B366" i="12"/>
  <c r="K18" i="46" s="1"/>
  <c r="F338" i="12"/>
  <c r="Q7" i="53" s="1"/>
  <c r="G338" i="12"/>
  <c r="Q7" i="54" s="1"/>
  <c r="H338" i="12"/>
  <c r="Q7" i="55" s="1"/>
  <c r="E338" i="12"/>
  <c r="Q7" i="52" s="1"/>
  <c r="C338" i="12"/>
  <c r="Q7" i="51" s="1"/>
  <c r="B338" i="12"/>
  <c r="Q7" i="46" s="1"/>
  <c r="F112" i="11" l="1"/>
  <c r="K104" i="53" s="1"/>
  <c r="F80" i="11"/>
  <c r="B112" i="53" s="1"/>
  <c r="F76" i="11"/>
  <c r="B110" i="53" s="1"/>
  <c r="F48" i="11"/>
  <c r="B132" i="53" s="1"/>
  <c r="B108" i="53"/>
  <c r="K93" i="54"/>
  <c r="K93" i="46"/>
  <c r="B68" i="11"/>
  <c r="B72" i="11"/>
  <c r="B48" i="11"/>
  <c r="B108" i="11"/>
  <c r="K93" i="53"/>
  <c r="G207" i="4"/>
  <c r="D93" i="54" s="1"/>
  <c r="G208" i="4"/>
  <c r="D94" i="54" s="1"/>
  <c r="Q20" i="55"/>
  <c r="J280" i="4"/>
  <c r="J279" i="4"/>
  <c r="J278" i="4"/>
  <c r="J277" i="4"/>
  <c r="K102" i="46" l="1"/>
  <c r="B106" i="46"/>
  <c r="B108" i="46"/>
  <c r="B132" i="46"/>
  <c r="C426" i="12"/>
  <c r="H426" i="12"/>
  <c r="H45" i="3"/>
  <c r="G45" i="3"/>
  <c r="F45" i="3"/>
  <c r="E45" i="3"/>
  <c r="C45" i="3"/>
  <c r="B45" i="3"/>
  <c r="E71" i="4"/>
  <c r="F71" i="4"/>
  <c r="G71" i="4"/>
  <c r="H71" i="4"/>
  <c r="H206" i="4"/>
  <c r="L9" i="55" s="1"/>
  <c r="G206" i="4"/>
  <c r="L9" i="54" s="1"/>
  <c r="F206" i="4"/>
  <c r="L9" i="53" s="1"/>
  <c r="E206" i="4"/>
  <c r="B206" i="4"/>
  <c r="L9" i="46" s="1"/>
  <c r="C71" i="4"/>
  <c r="B71" i="4"/>
  <c r="C6" i="8"/>
  <c r="L15" i="51" s="1"/>
  <c r="E6" i="8"/>
  <c r="L15" i="52" s="1"/>
  <c r="F6" i="8"/>
  <c r="L15" i="53" s="1"/>
  <c r="G6" i="8"/>
  <c r="L15" i="54" s="1"/>
  <c r="H6" i="8"/>
  <c r="L15" i="55" s="1"/>
  <c r="B6" i="8"/>
  <c r="L15" i="46" s="1"/>
  <c r="C41" i="4"/>
  <c r="E41" i="4"/>
  <c r="F41" i="4"/>
  <c r="G41" i="4"/>
  <c r="H41" i="4"/>
  <c r="J41" i="4"/>
  <c r="B41" i="4"/>
  <c r="B64" i="3"/>
  <c r="J29" i="3"/>
  <c r="L9" i="52" l="1"/>
  <c r="B66" i="46"/>
  <c r="N66" i="46"/>
  <c r="J66" i="46"/>
  <c r="J66" i="55"/>
  <c r="B66" i="55"/>
  <c r="N66" i="55"/>
  <c r="J66" i="54"/>
  <c r="N66" i="54"/>
  <c r="B66" i="54"/>
  <c r="J66" i="51"/>
  <c r="N66" i="51"/>
  <c r="B66" i="51"/>
  <c r="B66" i="53"/>
  <c r="N66" i="53"/>
  <c r="J66" i="53"/>
  <c r="B66" i="52"/>
  <c r="N66" i="52"/>
  <c r="J66" i="52"/>
  <c r="I93" i="46"/>
  <c r="I94" i="46"/>
  <c r="Q9" i="46"/>
  <c r="I93" i="55"/>
  <c r="I94" i="55"/>
  <c r="Q9" i="55"/>
  <c r="Q9" i="53"/>
  <c r="I94" i="53"/>
  <c r="I93" i="53"/>
  <c r="I93" i="51"/>
  <c r="Q9" i="51"/>
  <c r="I94" i="51"/>
  <c r="I93" i="54"/>
  <c r="I94" i="54"/>
  <c r="Q9" i="54"/>
  <c r="I94" i="52"/>
  <c r="Q9" i="52"/>
  <c r="I93" i="52"/>
  <c r="C29" i="3"/>
  <c r="E29" i="3"/>
  <c r="F29" i="3"/>
  <c r="G29" i="3"/>
  <c r="H29" i="3"/>
  <c r="B29" i="3"/>
  <c r="C1" i="1"/>
  <c r="E1" i="1"/>
  <c r="O1" i="1" s="1"/>
  <c r="F1" i="1"/>
  <c r="P1" i="1" s="1"/>
  <c r="G1" i="1"/>
  <c r="Q1" i="1" s="1"/>
  <c r="H1" i="1"/>
  <c r="B1" i="1"/>
  <c r="L1" i="1" s="1"/>
  <c r="J1" i="3"/>
  <c r="J28" i="3" l="1"/>
  <c r="J10" i="3"/>
  <c r="J19" i="3"/>
  <c r="H82" i="3"/>
  <c r="H63" i="3"/>
  <c r="H28" i="3"/>
  <c r="H10" i="3"/>
  <c r="H19" i="3"/>
  <c r="H91" i="3"/>
  <c r="H73" i="3"/>
  <c r="H53" i="3"/>
  <c r="B91" i="3"/>
  <c r="B73" i="3"/>
  <c r="B53" i="3"/>
  <c r="B19" i="3"/>
  <c r="B28" i="3"/>
  <c r="B63" i="3"/>
  <c r="B10" i="3"/>
  <c r="B82" i="3"/>
  <c r="F73" i="3"/>
  <c r="F82" i="3"/>
  <c r="F63" i="3"/>
  <c r="F28" i="3"/>
  <c r="F10" i="3"/>
  <c r="F53" i="3"/>
  <c r="F19" i="3"/>
  <c r="F91" i="3"/>
  <c r="E91" i="3"/>
  <c r="E73" i="3"/>
  <c r="E53" i="3"/>
  <c r="E10" i="3"/>
  <c r="E82" i="3"/>
  <c r="E63" i="3"/>
  <c r="E28" i="3"/>
  <c r="E19" i="3"/>
  <c r="C91" i="3"/>
  <c r="C73" i="3"/>
  <c r="C53" i="3"/>
  <c r="C19" i="3"/>
  <c r="C63" i="3"/>
  <c r="C28" i="3"/>
  <c r="C82" i="3"/>
  <c r="G91" i="3"/>
  <c r="G73" i="3"/>
  <c r="G53" i="3"/>
  <c r="G19" i="3"/>
  <c r="G10" i="3"/>
  <c r="G82" i="3"/>
  <c r="G63" i="3"/>
  <c r="G28" i="3"/>
  <c r="G91" i="4"/>
  <c r="C91" i="4"/>
  <c r="E91" i="4"/>
  <c r="F91" i="4"/>
  <c r="H91" i="4"/>
  <c r="B91" i="4"/>
  <c r="J201" i="4" l="1"/>
  <c r="H201" i="4"/>
  <c r="G201" i="4"/>
  <c r="F201" i="4"/>
  <c r="E201" i="4"/>
  <c r="C201" i="4"/>
  <c r="B201" i="4"/>
  <c r="J200" i="4"/>
  <c r="H200" i="4"/>
  <c r="G200" i="4"/>
  <c r="G368" i="12" s="1"/>
  <c r="J18" i="54" s="1"/>
  <c r="F200" i="4"/>
  <c r="F368" i="12" s="1"/>
  <c r="J18" i="53" s="1"/>
  <c r="E200" i="4"/>
  <c r="E503" i="12" s="1"/>
  <c r="C200" i="4"/>
  <c r="B200" i="4"/>
  <c r="J199" i="4"/>
  <c r="H199" i="4"/>
  <c r="G199" i="4"/>
  <c r="F199" i="4"/>
  <c r="F422" i="12" s="1"/>
  <c r="E199" i="4"/>
  <c r="C199" i="4"/>
  <c r="B199" i="4"/>
  <c r="B368" i="12" s="1"/>
  <c r="J18" i="46" s="1"/>
  <c r="J198" i="4"/>
  <c r="H198" i="4"/>
  <c r="G198" i="4"/>
  <c r="F198" i="4"/>
  <c r="E198" i="4"/>
  <c r="C198" i="4"/>
  <c r="B198" i="4"/>
  <c r="J197" i="4"/>
  <c r="H197" i="4"/>
  <c r="G197" i="4"/>
  <c r="F197" i="4"/>
  <c r="E197" i="4"/>
  <c r="C197" i="4"/>
  <c r="B197" i="4"/>
  <c r="J196" i="4"/>
  <c r="H196" i="4"/>
  <c r="G196" i="4"/>
  <c r="F196" i="4"/>
  <c r="E196" i="4"/>
  <c r="C196" i="4"/>
  <c r="B196" i="4"/>
  <c r="J195" i="4"/>
  <c r="H195" i="4"/>
  <c r="H395" i="12" s="1"/>
  <c r="J19" i="55" s="1"/>
  <c r="G195" i="4"/>
  <c r="F195" i="4"/>
  <c r="E195" i="4"/>
  <c r="C195" i="4"/>
  <c r="B195" i="4"/>
  <c r="J23" i="52" l="1"/>
  <c r="J19" i="57"/>
  <c r="I397" i="12"/>
  <c r="I391" i="12" s="1"/>
  <c r="E19" i="57" s="1"/>
  <c r="F395" i="12"/>
  <c r="J19" i="53" s="1"/>
  <c r="F449" i="12"/>
  <c r="J20" i="53"/>
  <c r="H476" i="12"/>
  <c r="J22" i="55" s="1"/>
  <c r="H503" i="12"/>
  <c r="E368" i="12"/>
  <c r="J18" i="52" s="1"/>
  <c r="E476" i="12"/>
  <c r="G395" i="12"/>
  <c r="J19" i="54" s="1"/>
  <c r="G422" i="12"/>
  <c r="B422" i="12"/>
  <c r="J20" i="46" s="1"/>
  <c r="B395" i="12"/>
  <c r="J19" i="46" s="1"/>
  <c r="B449" i="12"/>
  <c r="J21" i="46" s="1"/>
  <c r="C449" i="12"/>
  <c r="J21" i="51" s="1"/>
  <c r="E449" i="12"/>
  <c r="J21" i="52" s="1"/>
  <c r="G449" i="12"/>
  <c r="J21" i="54" s="1"/>
  <c r="H449" i="12"/>
  <c r="J21" i="55" s="1"/>
  <c r="E422" i="12"/>
  <c r="J20" i="52" s="1"/>
  <c r="E395" i="12"/>
  <c r="J19" i="52" s="1"/>
  <c r="H368" i="12"/>
  <c r="J18" i="55" s="1"/>
  <c r="H422" i="12"/>
  <c r="J20" i="55" s="1"/>
  <c r="C422" i="12"/>
  <c r="J20" i="51" s="1"/>
  <c r="C368" i="12"/>
  <c r="J18" i="51" s="1"/>
  <c r="C395" i="12"/>
  <c r="J19" i="51" s="1"/>
  <c r="I451" i="12" l="1"/>
  <c r="I445" i="12" s="1"/>
  <c r="E21" i="57" s="1"/>
  <c r="J21" i="57"/>
  <c r="J18" i="57"/>
  <c r="I370" i="12"/>
  <c r="I364" i="12" s="1"/>
  <c r="E18" i="57" s="1"/>
  <c r="J21" i="53"/>
  <c r="J20" i="54"/>
  <c r="J22" i="52"/>
  <c r="J23" i="55"/>
  <c r="B299" i="4"/>
  <c r="C299" i="4"/>
  <c r="E299" i="4"/>
  <c r="F299" i="4"/>
  <c r="G299" i="4"/>
  <c r="H299" i="4"/>
  <c r="J299" i="4"/>
  <c r="B300" i="4"/>
  <c r="C300" i="4"/>
  <c r="E300" i="4"/>
  <c r="F300" i="4"/>
  <c r="G300" i="4"/>
  <c r="H300" i="4"/>
  <c r="J300" i="4"/>
  <c r="B301" i="4"/>
  <c r="C301" i="4"/>
  <c r="E301" i="4"/>
  <c r="F301" i="4"/>
  <c r="G301" i="4"/>
  <c r="H301" i="4"/>
  <c r="J301" i="4"/>
  <c r="B297" i="4"/>
  <c r="C297" i="4"/>
  <c r="E297" i="4"/>
  <c r="F297" i="4"/>
  <c r="G297" i="4"/>
  <c r="H297" i="4"/>
  <c r="J297" i="4"/>
  <c r="B298" i="4"/>
  <c r="C298" i="4"/>
  <c r="E298" i="4"/>
  <c r="F298" i="4"/>
  <c r="G298" i="4"/>
  <c r="H298" i="4"/>
  <c r="J298" i="4"/>
  <c r="J292" i="4"/>
  <c r="H292" i="4"/>
  <c r="G292" i="4"/>
  <c r="F292" i="4"/>
  <c r="E292" i="4"/>
  <c r="C292" i="4"/>
  <c r="B292" i="4"/>
  <c r="C289" i="4"/>
  <c r="E289" i="4"/>
  <c r="F289" i="4"/>
  <c r="G289" i="4"/>
  <c r="H289" i="4"/>
  <c r="J289" i="4"/>
  <c r="B289" i="4"/>
  <c r="B293" i="4"/>
  <c r="C293" i="4"/>
  <c r="E293" i="4"/>
  <c r="F293" i="4"/>
  <c r="G293" i="4"/>
  <c r="H293" i="4"/>
  <c r="J293" i="4"/>
  <c r="B294" i="4"/>
  <c r="C294" i="4"/>
  <c r="E294" i="4"/>
  <c r="F294" i="4"/>
  <c r="G294" i="4"/>
  <c r="H294" i="4"/>
  <c r="J294" i="4"/>
  <c r="B295" i="4"/>
  <c r="C295" i="4"/>
  <c r="E295" i="4"/>
  <c r="F295" i="4"/>
  <c r="G295" i="4"/>
  <c r="H295" i="4"/>
  <c r="J295" i="4"/>
  <c r="B296" i="4"/>
  <c r="C296" i="4"/>
  <c r="E296" i="4"/>
  <c r="F296" i="4"/>
  <c r="G296" i="4"/>
  <c r="H296" i="4"/>
  <c r="J296" i="4"/>
  <c r="B283" i="4"/>
  <c r="C283" i="4"/>
  <c r="E283" i="4"/>
  <c r="F283" i="4"/>
  <c r="G283" i="4"/>
  <c r="H283" i="4"/>
  <c r="J283" i="4"/>
  <c r="B284" i="4"/>
  <c r="C284" i="4"/>
  <c r="E284" i="4"/>
  <c r="F284" i="4"/>
  <c r="G284" i="4"/>
  <c r="H284" i="4"/>
  <c r="J284" i="4"/>
  <c r="B285" i="4"/>
  <c r="C285" i="4"/>
  <c r="E285" i="4"/>
  <c r="F285" i="4"/>
  <c r="G285" i="4"/>
  <c r="H285" i="4"/>
  <c r="J285" i="4"/>
  <c r="B286" i="4"/>
  <c r="C286" i="4"/>
  <c r="E286" i="4"/>
  <c r="F286" i="4"/>
  <c r="G286" i="4"/>
  <c r="H286" i="4"/>
  <c r="J286" i="4"/>
  <c r="B287" i="4"/>
  <c r="C287" i="4"/>
  <c r="E287" i="4"/>
  <c r="F287" i="4"/>
  <c r="G287" i="4"/>
  <c r="H287" i="4"/>
  <c r="J287" i="4"/>
  <c r="B288" i="4"/>
  <c r="C288" i="4"/>
  <c r="E288" i="4"/>
  <c r="F288" i="4"/>
  <c r="G288" i="4"/>
  <c r="H288" i="4"/>
  <c r="J288" i="4"/>
  <c r="B290" i="4"/>
  <c r="C290" i="4"/>
  <c r="E290" i="4"/>
  <c r="F290" i="4"/>
  <c r="G290" i="4"/>
  <c r="H290" i="4"/>
  <c r="J290" i="4"/>
  <c r="B291" i="4"/>
  <c r="C291" i="4"/>
  <c r="E291" i="4"/>
  <c r="F291" i="4"/>
  <c r="G291" i="4"/>
  <c r="H291" i="4"/>
  <c r="J291" i="4"/>
  <c r="C282" i="4"/>
  <c r="E282" i="4"/>
  <c r="F282" i="4"/>
  <c r="G282" i="4"/>
  <c r="H282" i="4"/>
  <c r="J282" i="4"/>
  <c r="B282" i="4"/>
  <c r="B176" i="4" l="1"/>
  <c r="C176" i="4"/>
  <c r="E176" i="4"/>
  <c r="F176" i="4"/>
  <c r="G176" i="4"/>
  <c r="H176" i="4"/>
  <c r="J176" i="4"/>
  <c r="B177" i="4"/>
  <c r="H28" i="46" s="1"/>
  <c r="C177" i="4"/>
  <c r="H28" i="51" s="1"/>
  <c r="E177" i="4"/>
  <c r="H28" i="52" s="1"/>
  <c r="F177" i="4"/>
  <c r="H28" i="53" s="1"/>
  <c r="G177" i="4"/>
  <c r="H28" i="54" s="1"/>
  <c r="H177" i="4"/>
  <c r="H28" i="55" s="1"/>
  <c r="J177" i="4"/>
  <c r="B178" i="4"/>
  <c r="C178" i="4"/>
  <c r="E178" i="4"/>
  <c r="F178" i="4"/>
  <c r="G178" i="4"/>
  <c r="H178" i="4"/>
  <c r="J178" i="4"/>
  <c r="B179" i="4"/>
  <c r="C179" i="4"/>
  <c r="E179" i="4"/>
  <c r="F179" i="4"/>
  <c r="G179" i="4"/>
  <c r="H179" i="4"/>
  <c r="J179" i="4"/>
  <c r="B180" i="4"/>
  <c r="C180" i="4"/>
  <c r="E180" i="4"/>
  <c r="F180" i="4"/>
  <c r="G180" i="4"/>
  <c r="H180" i="4"/>
  <c r="J180" i="4"/>
  <c r="B181" i="4"/>
  <c r="C181" i="4"/>
  <c r="E181" i="4"/>
  <c r="F181" i="4"/>
  <c r="G181" i="4"/>
  <c r="H181" i="4"/>
  <c r="J181" i="4"/>
  <c r="B182" i="4"/>
  <c r="C182" i="4"/>
  <c r="E182" i="4"/>
  <c r="F182" i="4"/>
  <c r="G182" i="4"/>
  <c r="H182" i="4"/>
  <c r="J182" i="4"/>
  <c r="B183" i="4"/>
  <c r="C183" i="4"/>
  <c r="E183" i="4"/>
  <c r="F183" i="4"/>
  <c r="G183" i="4"/>
  <c r="H183" i="4"/>
  <c r="J183" i="4"/>
  <c r="B184" i="4"/>
  <c r="C184" i="4"/>
  <c r="E184" i="4"/>
  <c r="F184" i="4"/>
  <c r="G184" i="4"/>
  <c r="H184" i="4"/>
  <c r="J184" i="4"/>
  <c r="B185" i="4"/>
  <c r="C185" i="4"/>
  <c r="E185" i="4"/>
  <c r="F185" i="4"/>
  <c r="G185" i="4"/>
  <c r="H185" i="4"/>
  <c r="J185" i="4"/>
  <c r="B186" i="4"/>
  <c r="C186" i="4"/>
  <c r="E186" i="4"/>
  <c r="F186" i="4"/>
  <c r="G186" i="4"/>
  <c r="H186" i="4"/>
  <c r="J186" i="4"/>
  <c r="B187" i="4"/>
  <c r="C187" i="4"/>
  <c r="E187" i="4"/>
  <c r="F187" i="4"/>
  <c r="G187" i="4"/>
  <c r="H187" i="4"/>
  <c r="J187" i="4"/>
  <c r="B188" i="4"/>
  <c r="C188" i="4"/>
  <c r="E188" i="4"/>
  <c r="F188" i="4"/>
  <c r="G188" i="4"/>
  <c r="H188" i="4"/>
  <c r="J188" i="4"/>
  <c r="B189" i="4"/>
  <c r="C189" i="4"/>
  <c r="E189" i="4"/>
  <c r="F189" i="4"/>
  <c r="G189" i="4"/>
  <c r="H189" i="4"/>
  <c r="J189" i="4"/>
  <c r="B190" i="4"/>
  <c r="C190" i="4"/>
  <c r="E190" i="4"/>
  <c r="F190" i="4"/>
  <c r="G190" i="4"/>
  <c r="H190" i="4"/>
  <c r="J190" i="4"/>
  <c r="B191" i="4"/>
  <c r="C191" i="4"/>
  <c r="E191" i="4"/>
  <c r="F191" i="4"/>
  <c r="G191" i="4"/>
  <c r="H191" i="4"/>
  <c r="J191" i="4"/>
  <c r="B192" i="4"/>
  <c r="V29" i="46" s="1"/>
  <c r="C192" i="4"/>
  <c r="V29" i="51" s="1"/>
  <c r="E192" i="4"/>
  <c r="V29" i="52" s="1"/>
  <c r="F192" i="4"/>
  <c r="V29" i="53" s="1"/>
  <c r="G192" i="4"/>
  <c r="V29" i="54" s="1"/>
  <c r="H192" i="4"/>
  <c r="V29" i="55" s="1"/>
  <c r="J192" i="4"/>
  <c r="B193" i="4"/>
  <c r="C193" i="4"/>
  <c r="E193" i="4"/>
  <c r="F193" i="4"/>
  <c r="G193" i="4"/>
  <c r="H193" i="4"/>
  <c r="J193" i="4"/>
  <c r="B194" i="4"/>
  <c r="V31" i="46" s="1"/>
  <c r="C194" i="4"/>
  <c r="V31" i="51" s="1"/>
  <c r="E194" i="4"/>
  <c r="V31" i="52" s="1"/>
  <c r="F194" i="4"/>
  <c r="V31" i="53" s="1"/>
  <c r="G194" i="4"/>
  <c r="V31" i="54" s="1"/>
  <c r="H194" i="4"/>
  <c r="V31" i="55" s="1"/>
  <c r="J194" i="4"/>
  <c r="C175" i="4"/>
  <c r="H26" i="51" s="1"/>
  <c r="E175" i="4"/>
  <c r="H26" i="52" s="1"/>
  <c r="F175" i="4"/>
  <c r="H26" i="53" s="1"/>
  <c r="G175" i="4"/>
  <c r="H26" i="54" s="1"/>
  <c r="H175" i="4"/>
  <c r="H26" i="55" s="1"/>
  <c r="J175" i="4"/>
  <c r="B175" i="4"/>
  <c r="H26" i="46" s="1"/>
  <c r="B21" i="3"/>
  <c r="C21" i="3"/>
  <c r="E21" i="3"/>
  <c r="F21" i="3"/>
  <c r="G21" i="3"/>
  <c r="H21" i="3"/>
  <c r="B22" i="3"/>
  <c r="C22" i="3"/>
  <c r="E22" i="3"/>
  <c r="F22" i="3"/>
  <c r="G22" i="3"/>
  <c r="H22" i="3"/>
  <c r="B23" i="3"/>
  <c r="C23" i="3"/>
  <c r="E23" i="3"/>
  <c r="F23" i="3"/>
  <c r="G23" i="3"/>
  <c r="H23" i="3"/>
  <c r="B24" i="3"/>
  <c r="C24" i="3"/>
  <c r="E24" i="3"/>
  <c r="F24" i="3"/>
  <c r="G24" i="3"/>
  <c r="H24" i="3"/>
  <c r="B25" i="3"/>
  <c r="C25" i="3"/>
  <c r="E25" i="3"/>
  <c r="F25" i="3"/>
  <c r="G25" i="3"/>
  <c r="H25" i="3"/>
  <c r="C20" i="3"/>
  <c r="E20" i="3"/>
  <c r="F20" i="3"/>
  <c r="G20" i="3"/>
  <c r="H20" i="3"/>
  <c r="B20" i="3"/>
  <c r="H34" i="53" l="1"/>
  <c r="H32" i="46"/>
  <c r="H30" i="52"/>
  <c r="H35" i="51"/>
  <c r="V26" i="53"/>
  <c r="H36" i="54"/>
  <c r="H31" i="55"/>
  <c r="V26" i="51"/>
  <c r="H31" i="54"/>
  <c r="V27" i="55"/>
  <c r="V26" i="46"/>
  <c r="H36" i="52"/>
  <c r="H31" i="53"/>
  <c r="H29" i="55"/>
  <c r="V28" i="52"/>
  <c r="H36" i="55"/>
  <c r="H33" i="55"/>
  <c r="H31" i="52"/>
  <c r="H29" i="54"/>
  <c r="H31" i="51"/>
  <c r="H27" i="55"/>
  <c r="H34" i="51"/>
  <c r="H36" i="46"/>
  <c r="V30" i="55"/>
  <c r="H33" i="53"/>
  <c r="H32" i="55"/>
  <c r="H31" i="46"/>
  <c r="H29" i="52"/>
  <c r="H27" i="54"/>
  <c r="V28" i="51"/>
  <c r="V28" i="46"/>
  <c r="V27" i="54"/>
  <c r="H35" i="55"/>
  <c r="H32" i="54"/>
  <c r="H29" i="51"/>
  <c r="H27" i="53"/>
  <c r="H34" i="52"/>
  <c r="H36" i="51"/>
  <c r="V27" i="53"/>
  <c r="H37" i="54"/>
  <c r="V30" i="54"/>
  <c r="V27" i="51"/>
  <c r="H37" i="53"/>
  <c r="H33" i="52"/>
  <c r="V30" i="53"/>
  <c r="V28" i="55"/>
  <c r="V27" i="46"/>
  <c r="H37" i="52"/>
  <c r="H35" i="54"/>
  <c r="H33" i="51"/>
  <c r="H32" i="53"/>
  <c r="H30" i="55"/>
  <c r="H29" i="46"/>
  <c r="H27" i="52"/>
  <c r="V30" i="46"/>
  <c r="H34" i="46"/>
  <c r="H33" i="46"/>
  <c r="H32" i="52"/>
  <c r="H30" i="54"/>
  <c r="H27" i="51"/>
  <c r="V26" i="54"/>
  <c r="H35" i="46"/>
  <c r="H30" i="51"/>
  <c r="V26" i="52"/>
  <c r="H30" i="46"/>
  <c r="H36" i="53"/>
  <c r="H37" i="55"/>
  <c r="H33" i="54"/>
  <c r="H29" i="53"/>
  <c r="V27" i="52"/>
  <c r="V30" i="52"/>
  <c r="V28" i="54"/>
  <c r="H37" i="51"/>
  <c r="H35" i="53"/>
  <c r="H34" i="55"/>
  <c r="V30" i="51"/>
  <c r="V28" i="53"/>
  <c r="V26" i="55"/>
  <c r="H37" i="46"/>
  <c r="H35" i="52"/>
  <c r="H34" i="54"/>
  <c r="H32" i="51"/>
  <c r="H30" i="53"/>
  <c r="H27" i="46"/>
  <c r="H98" i="3"/>
  <c r="G98" i="3"/>
  <c r="F98" i="3"/>
  <c r="E98" i="3"/>
  <c r="C98" i="3"/>
  <c r="B98" i="3"/>
  <c r="H89" i="3"/>
  <c r="G89" i="3"/>
  <c r="F89" i="3"/>
  <c r="E89" i="3"/>
  <c r="C89" i="3"/>
  <c r="B89" i="3"/>
  <c r="J2" i="8" l="1"/>
  <c r="C206" i="4"/>
  <c r="L9" i="51" s="1"/>
  <c r="J206" i="4"/>
  <c r="B172" i="4"/>
  <c r="G12" i="46" s="1"/>
  <c r="C172" i="4"/>
  <c r="G12" i="51" s="1"/>
  <c r="E172" i="4"/>
  <c r="G12" i="52" s="1"/>
  <c r="G172" i="4"/>
  <c r="G12" i="54" s="1"/>
  <c r="H172" i="4"/>
  <c r="G12" i="55" s="1"/>
  <c r="J172" i="4"/>
  <c r="F172" i="4"/>
  <c r="G12" i="53" s="1"/>
  <c r="B173" i="4"/>
  <c r="G13" i="46" s="1"/>
  <c r="C173" i="4"/>
  <c r="G13" i="51" s="1"/>
  <c r="E173" i="4"/>
  <c r="G13" i="52" s="1"/>
  <c r="G173" i="4"/>
  <c r="G13" i="54" s="1"/>
  <c r="H173" i="4"/>
  <c r="G13" i="55" s="1"/>
  <c r="J173" i="4"/>
  <c r="F173" i="4"/>
  <c r="G13" i="53" s="1"/>
  <c r="B174" i="4"/>
  <c r="G14" i="46" s="1"/>
  <c r="C174" i="4"/>
  <c r="G14" i="51" s="1"/>
  <c r="E174" i="4"/>
  <c r="G14" i="52" s="1"/>
  <c r="G174" i="4"/>
  <c r="G14" i="54" s="1"/>
  <c r="H174" i="4"/>
  <c r="G14" i="55" s="1"/>
  <c r="J174" i="4"/>
  <c r="F174" i="4"/>
  <c r="G14" i="53" s="1"/>
  <c r="B171" i="4"/>
  <c r="G15" i="46" s="1"/>
  <c r="C171" i="4"/>
  <c r="G15" i="51" s="1"/>
  <c r="E171" i="4"/>
  <c r="G15" i="52" s="1"/>
  <c r="G171" i="4"/>
  <c r="G15" i="54" s="1"/>
  <c r="H171" i="4"/>
  <c r="G15" i="55" s="1"/>
  <c r="J171" i="4"/>
  <c r="G15" i="53"/>
  <c r="B202" i="4"/>
  <c r="B32" i="4" s="1"/>
  <c r="B340" i="12" s="1"/>
  <c r="C202" i="4"/>
  <c r="C32" i="4" s="1"/>
  <c r="E202" i="4"/>
  <c r="E32" i="4" s="1"/>
  <c r="G202" i="4"/>
  <c r="G32" i="4" s="1"/>
  <c r="G340" i="12" s="1"/>
  <c r="H202" i="4"/>
  <c r="H32" i="4" s="1"/>
  <c r="J202" i="4"/>
  <c r="F202" i="4"/>
  <c r="F32" i="4" s="1"/>
  <c r="B203" i="4"/>
  <c r="B33" i="4" s="1"/>
  <c r="C203" i="4"/>
  <c r="C33" i="4" s="1"/>
  <c r="E203" i="4"/>
  <c r="E33" i="4" s="1"/>
  <c r="E340" i="12" s="1"/>
  <c r="G203" i="4"/>
  <c r="G33" i="4" s="1"/>
  <c r="H203" i="4"/>
  <c r="H33" i="4" s="1"/>
  <c r="H340" i="12" s="1"/>
  <c r="J203" i="4"/>
  <c r="F203" i="4"/>
  <c r="F33" i="4" s="1"/>
  <c r="B204" i="4"/>
  <c r="B34" i="4" s="1"/>
  <c r="C204" i="4"/>
  <c r="C34" i="4" s="1"/>
  <c r="E204" i="4"/>
  <c r="E34" i="4" s="1"/>
  <c r="G204" i="4"/>
  <c r="G34" i="4" s="1"/>
  <c r="H204" i="4"/>
  <c r="H34" i="4" s="1"/>
  <c r="J204" i="4"/>
  <c r="F204" i="4"/>
  <c r="F34" i="4" s="1"/>
  <c r="B205" i="4"/>
  <c r="B35" i="4" s="1"/>
  <c r="C205" i="4"/>
  <c r="E205" i="4"/>
  <c r="E35" i="4" s="1"/>
  <c r="G205" i="4"/>
  <c r="G35" i="4" s="1"/>
  <c r="H205" i="4"/>
  <c r="H35" i="4" s="1"/>
  <c r="J205" i="4"/>
  <c r="J35" i="4" s="1"/>
  <c r="F205" i="4"/>
  <c r="F35" i="4" s="1"/>
  <c r="F340" i="12" s="1"/>
  <c r="B207" i="4"/>
  <c r="D93" i="46" s="1"/>
  <c r="C207" i="4"/>
  <c r="D93" i="51" s="1"/>
  <c r="F207" i="4"/>
  <c r="D93" i="53" s="1"/>
  <c r="B208" i="4"/>
  <c r="D94" i="46" s="1"/>
  <c r="C208" i="4"/>
  <c r="D94" i="51" s="1"/>
  <c r="F208" i="4"/>
  <c r="D94" i="53" s="1"/>
  <c r="F64" i="3"/>
  <c r="H64" i="3"/>
  <c r="G64" i="3"/>
  <c r="P7" i="54" l="1"/>
  <c r="G343" i="12"/>
  <c r="P7" i="53"/>
  <c r="F343" i="12"/>
  <c r="P7" i="55"/>
  <c r="H343" i="12"/>
  <c r="P7" i="46"/>
  <c r="B343" i="12"/>
  <c r="P7" i="52"/>
  <c r="E343" i="12"/>
  <c r="C35" i="4"/>
  <c r="C340" i="12" s="1"/>
  <c r="C64" i="3"/>
  <c r="E64" i="3"/>
  <c r="B3" i="3"/>
  <c r="E3" i="3"/>
  <c r="F6" i="52" s="1"/>
  <c r="G3" i="3"/>
  <c r="F6" i="54" s="1"/>
  <c r="H3" i="3"/>
  <c r="F6" i="55" s="1"/>
  <c r="F3" i="3"/>
  <c r="F6" i="53" s="1"/>
  <c r="B4" i="3"/>
  <c r="C4" i="3"/>
  <c r="E4" i="3"/>
  <c r="C7" i="52" s="1"/>
  <c r="G4" i="3"/>
  <c r="C7" i="54" s="1"/>
  <c r="H4" i="3"/>
  <c r="C7" i="55" s="1"/>
  <c r="F4" i="3"/>
  <c r="C7" i="53" s="1"/>
  <c r="B5" i="3"/>
  <c r="C5" i="3"/>
  <c r="E5" i="3"/>
  <c r="F7" i="52" s="1"/>
  <c r="G5" i="3"/>
  <c r="F7" i="54" s="1"/>
  <c r="H5" i="3"/>
  <c r="F7" i="55" s="1"/>
  <c r="F5" i="3"/>
  <c r="F7" i="53" s="1"/>
  <c r="B6" i="3"/>
  <c r="C6" i="3"/>
  <c r="E6" i="3"/>
  <c r="C8" i="52" s="1"/>
  <c r="G6" i="3"/>
  <c r="C8" i="54" s="1"/>
  <c r="H6" i="3"/>
  <c r="C8" i="55" s="1"/>
  <c r="F6" i="3"/>
  <c r="C8" i="53" s="1"/>
  <c r="B7" i="3"/>
  <c r="C7" i="3"/>
  <c r="E7" i="3"/>
  <c r="F8" i="52" s="1"/>
  <c r="G7" i="3"/>
  <c r="F8" i="54" s="1"/>
  <c r="H7" i="3"/>
  <c r="F8" i="55" s="1"/>
  <c r="F7" i="3"/>
  <c r="F8" i="53" s="1"/>
  <c r="C2" i="3"/>
  <c r="E2" i="3"/>
  <c r="E308" i="4" s="1"/>
  <c r="E309" i="4" s="1"/>
  <c r="M13" i="52" s="1"/>
  <c r="G2" i="3"/>
  <c r="G308" i="4" s="1"/>
  <c r="G309" i="4" s="1"/>
  <c r="M13" i="54" s="1"/>
  <c r="F2" i="3"/>
  <c r="F308" i="4" s="1"/>
  <c r="F309" i="4" s="1"/>
  <c r="M13" i="53" s="1"/>
  <c r="B2" i="3"/>
  <c r="C61" i="3"/>
  <c r="E61" i="3"/>
  <c r="G61" i="3"/>
  <c r="H61" i="3"/>
  <c r="F61" i="3"/>
  <c r="B61" i="3"/>
  <c r="P7" i="51" l="1"/>
  <c r="C343" i="12"/>
  <c r="C11" i="3"/>
  <c r="C308" i="4"/>
  <c r="C309" i="4" s="1"/>
  <c r="M13" i="51" s="1"/>
  <c r="B308" i="4"/>
  <c r="B309" i="4" s="1"/>
  <c r="M13" i="46" s="1"/>
  <c r="B347" i="12"/>
  <c r="B279" i="4" s="1"/>
  <c r="L6" i="3"/>
  <c r="L5" i="3"/>
  <c r="L4" i="3"/>
  <c r="L7" i="3"/>
  <c r="C7" i="51"/>
  <c r="C13" i="3"/>
  <c r="C8" i="51"/>
  <c r="C15" i="3"/>
  <c r="D8" i="51" s="1"/>
  <c r="F8" i="51"/>
  <c r="C16" i="3"/>
  <c r="F7" i="51"/>
  <c r="C14" i="3"/>
  <c r="C7" i="46"/>
  <c r="C8" i="46"/>
  <c r="F8" i="46"/>
  <c r="F7" i="46"/>
  <c r="F6" i="46"/>
  <c r="C6" i="46"/>
  <c r="F347" i="12"/>
  <c r="F278" i="4" s="1"/>
  <c r="N28" i="53" s="1"/>
  <c r="C6" i="53"/>
  <c r="G347" i="12"/>
  <c r="G280" i="4" s="1"/>
  <c r="AB31" i="54" s="1"/>
  <c r="C6" i="54"/>
  <c r="E347" i="12"/>
  <c r="E278" i="4" s="1"/>
  <c r="N28" i="52" s="1"/>
  <c r="C6" i="52"/>
  <c r="C347" i="12"/>
  <c r="C277" i="4" s="1"/>
  <c r="N26" i="51" s="1"/>
  <c r="C6" i="51"/>
  <c r="H26" i="3"/>
  <c r="E26" i="3"/>
  <c r="F26" i="3"/>
  <c r="J26" i="3"/>
  <c r="C26" i="3"/>
  <c r="H2" i="3"/>
  <c r="C3" i="3"/>
  <c r="C12" i="3" s="1"/>
  <c r="G26" i="3"/>
  <c r="C6" i="55" l="1"/>
  <c r="H308" i="4"/>
  <c r="H309" i="4" s="1"/>
  <c r="M13" i="55" s="1"/>
  <c r="L2" i="3"/>
  <c r="L3" i="3"/>
  <c r="AB29" i="46"/>
  <c r="B278" i="4"/>
  <c r="B277" i="4"/>
  <c r="B280" i="4"/>
  <c r="F279" i="4"/>
  <c r="AB29" i="53" s="1"/>
  <c r="E279" i="4"/>
  <c r="AB29" i="52" s="1"/>
  <c r="C279" i="4"/>
  <c r="AB29" i="51" s="1"/>
  <c r="G278" i="4"/>
  <c r="N28" i="54" s="1"/>
  <c r="C278" i="4"/>
  <c r="N28" i="51" s="1"/>
  <c r="G279" i="4"/>
  <c r="AB29" i="54" s="1"/>
  <c r="G277" i="4"/>
  <c r="N26" i="54" s="1"/>
  <c r="C280" i="4"/>
  <c r="AB31" i="51" s="1"/>
  <c r="F6" i="51"/>
  <c r="E280" i="4"/>
  <c r="AB31" i="52" s="1"/>
  <c r="F280" i="4"/>
  <c r="AB31" i="53" s="1"/>
  <c r="F277" i="4"/>
  <c r="N26" i="53" s="1"/>
  <c r="E277" i="4"/>
  <c r="N26" i="52" s="1"/>
  <c r="H347" i="12"/>
  <c r="B43" i="3"/>
  <c r="C43" i="3"/>
  <c r="E43" i="3"/>
  <c r="G43" i="3"/>
  <c r="H43" i="3"/>
  <c r="F43" i="3"/>
  <c r="AB31" i="46" l="1"/>
  <c r="N26" i="46"/>
  <c r="N28" i="46"/>
  <c r="H279" i="4"/>
  <c r="AB29" i="55" s="1"/>
  <c r="H280" i="4"/>
  <c r="AB31" i="55" s="1"/>
  <c r="H277" i="4"/>
  <c r="N26" i="55" s="1"/>
  <c r="H278" i="4"/>
  <c r="N28" i="55" s="1"/>
  <c r="C36" i="3"/>
  <c r="E36" i="3"/>
  <c r="G36" i="3"/>
  <c r="H36" i="3"/>
  <c r="F36" i="3"/>
  <c r="B36" i="3"/>
  <c r="F80" i="3"/>
  <c r="H80" i="3"/>
  <c r="G80" i="3"/>
  <c r="E80" i="3"/>
  <c r="C80" i="3"/>
  <c r="B80" i="3"/>
  <c r="F71" i="3"/>
  <c r="H71" i="3"/>
  <c r="G71" i="3"/>
  <c r="E71" i="3"/>
  <c r="C71" i="3"/>
  <c r="B71" i="3"/>
  <c r="G16" i="3"/>
  <c r="F15" i="3"/>
  <c r="J15" i="3"/>
  <c r="J14" i="3"/>
  <c r="G14" i="3"/>
  <c r="B14" i="3"/>
  <c r="J13" i="3"/>
  <c r="J70" i="4" s="1"/>
  <c r="D7" i="51"/>
  <c r="G12" i="3"/>
  <c r="G6" i="54" s="1"/>
  <c r="G6" i="51"/>
  <c r="J16" i="3"/>
  <c r="E15" i="3"/>
  <c r="D8" i="52" s="1"/>
  <c r="H14" i="3"/>
  <c r="F13" i="3"/>
  <c r="E13" i="3"/>
  <c r="D7" i="52" s="1"/>
  <c r="J12" i="3"/>
  <c r="F11" i="3"/>
  <c r="F70" i="4" l="1"/>
  <c r="H94" i="53" s="1"/>
  <c r="D8" i="53"/>
  <c r="F331" i="12"/>
  <c r="F333" i="12" s="1"/>
  <c r="R62" i="53" s="1"/>
  <c r="F448" i="12"/>
  <c r="G8" i="51"/>
  <c r="D6" i="53"/>
  <c r="G7" i="51"/>
  <c r="G88" i="4"/>
  <c r="G94" i="4" s="1"/>
  <c r="G95" i="4" s="1"/>
  <c r="G7" i="54"/>
  <c r="G70" i="4"/>
  <c r="G37" i="4" s="1"/>
  <c r="I9" i="54" s="1"/>
  <c r="G8" i="54"/>
  <c r="F45" i="4"/>
  <c r="D7" i="53"/>
  <c r="B88" i="4"/>
  <c r="B94" i="4" s="1"/>
  <c r="B95" i="4" s="1"/>
  <c r="G7" i="46"/>
  <c r="H88" i="4"/>
  <c r="H94" i="4" s="1"/>
  <c r="H95" i="4" s="1"/>
  <c r="G7" i="55"/>
  <c r="H93" i="53"/>
  <c r="P9" i="53"/>
  <c r="C341" i="12"/>
  <c r="M7" i="51" s="1"/>
  <c r="C421" i="12"/>
  <c r="G20" i="51" s="1"/>
  <c r="G341" i="12"/>
  <c r="M7" i="54" s="1"/>
  <c r="C88" i="4"/>
  <c r="C94" i="4" s="1"/>
  <c r="C95" i="4" s="1"/>
  <c r="C70" i="4"/>
  <c r="Q19" i="53"/>
  <c r="F367" i="12"/>
  <c r="G18" i="53" s="1"/>
  <c r="Q18" i="53"/>
  <c r="F51" i="4"/>
  <c r="G46" i="4"/>
  <c r="G49" i="4"/>
  <c r="G66" i="4"/>
  <c r="G68" i="4"/>
  <c r="J59" i="4"/>
  <c r="J57" i="4"/>
  <c r="J65" i="4"/>
  <c r="J50" i="4"/>
  <c r="J62" i="4"/>
  <c r="J58" i="4"/>
  <c r="J56" i="4"/>
  <c r="J52" i="4"/>
  <c r="G55" i="4"/>
  <c r="G14" i="4" s="1"/>
  <c r="G53" i="4"/>
  <c r="G12" i="4" s="1"/>
  <c r="G54" i="4"/>
  <c r="G13" i="4" s="1"/>
  <c r="G63" i="4"/>
  <c r="G25" i="4" s="1"/>
  <c r="G62" i="4"/>
  <c r="G24" i="4" s="1"/>
  <c r="G58" i="4"/>
  <c r="G18" i="4" s="1"/>
  <c r="G56" i="4"/>
  <c r="G15" i="4" s="1"/>
  <c r="G52" i="4"/>
  <c r="G11" i="4" s="1"/>
  <c r="G59" i="4"/>
  <c r="G20" i="4" s="1"/>
  <c r="G57" i="4"/>
  <c r="G16" i="4" s="1"/>
  <c r="G65" i="4"/>
  <c r="G27" i="4" s="1"/>
  <c r="G50" i="4"/>
  <c r="G9" i="4" s="1"/>
  <c r="J61" i="4"/>
  <c r="J47" i="4"/>
  <c r="J64" i="4"/>
  <c r="J60" i="4"/>
  <c r="J42" i="4"/>
  <c r="J67" i="4"/>
  <c r="J54" i="4"/>
  <c r="J63" i="4"/>
  <c r="J55" i="4"/>
  <c r="J53" i="4"/>
  <c r="C2" i="2"/>
  <c r="C16" i="2" s="1"/>
  <c r="C45" i="4"/>
  <c r="C59" i="4"/>
  <c r="C20" i="4" s="1"/>
  <c r="C57" i="4"/>
  <c r="C16" i="4" s="1"/>
  <c r="C65" i="4"/>
  <c r="C27" i="4" s="1"/>
  <c r="C50" i="4"/>
  <c r="C9" i="4" s="1"/>
  <c r="C62" i="4"/>
  <c r="C24" i="4" s="1"/>
  <c r="C58" i="4"/>
  <c r="C18" i="4" s="1"/>
  <c r="C56" i="4"/>
  <c r="C15" i="4" s="1"/>
  <c r="C52" i="4"/>
  <c r="C11" i="4" s="1"/>
  <c r="C61" i="4"/>
  <c r="C23" i="4" s="1"/>
  <c r="C47" i="4"/>
  <c r="C64" i="4"/>
  <c r="C26" i="4" s="1"/>
  <c r="C60" i="4"/>
  <c r="C22" i="4" s="1"/>
  <c r="C42" i="4"/>
  <c r="C67" i="4"/>
  <c r="C29" i="4" s="1"/>
  <c r="J68" i="4"/>
  <c r="J46" i="4"/>
  <c r="J49" i="4"/>
  <c r="J66" i="4"/>
  <c r="H59" i="4"/>
  <c r="H20" i="4" s="1"/>
  <c r="H57" i="4"/>
  <c r="H16" i="4" s="1"/>
  <c r="H65" i="4"/>
  <c r="H27" i="4" s="1"/>
  <c r="H62" i="4"/>
  <c r="H24" i="4" s="1"/>
  <c r="H58" i="4"/>
  <c r="H18" i="4" s="1"/>
  <c r="H56" i="4"/>
  <c r="H15" i="4" s="1"/>
  <c r="H52" i="4"/>
  <c r="H11" i="4" s="1"/>
  <c r="H50" i="4"/>
  <c r="H9" i="4" s="1"/>
  <c r="F42" i="4"/>
  <c r="F67" i="4"/>
  <c r="F29" i="4" s="1"/>
  <c r="F60" i="4"/>
  <c r="F22" i="4" s="1"/>
  <c r="F47" i="4"/>
  <c r="F64" i="4"/>
  <c r="F26" i="4" s="1"/>
  <c r="F61" i="4"/>
  <c r="F23" i="4" s="1"/>
  <c r="C68" i="4"/>
  <c r="C46" i="4"/>
  <c r="C49" i="4"/>
  <c r="C66" i="4"/>
  <c r="J2" i="2"/>
  <c r="J16" i="2" s="1"/>
  <c r="J45" i="4"/>
  <c r="C54" i="4"/>
  <c r="C13" i="4" s="1"/>
  <c r="C63" i="4"/>
  <c r="C25" i="4" s="1"/>
  <c r="C55" i="4"/>
  <c r="C14" i="4" s="1"/>
  <c r="C53" i="4"/>
  <c r="C12" i="4" s="1"/>
  <c r="E2" i="2"/>
  <c r="E16" i="2" s="1"/>
  <c r="E45" i="4"/>
  <c r="E42" i="4"/>
  <c r="E67" i="4"/>
  <c r="E29" i="4" s="1"/>
  <c r="E60" i="4"/>
  <c r="E22" i="4" s="1"/>
  <c r="E47" i="4"/>
  <c r="E64" i="4"/>
  <c r="E26" i="4" s="1"/>
  <c r="E61" i="4"/>
  <c r="E23" i="4" s="1"/>
  <c r="B59" i="4"/>
  <c r="B20" i="4" s="1"/>
  <c r="B57" i="4"/>
  <c r="F34" i="46" s="1"/>
  <c r="B65" i="4"/>
  <c r="B62" i="4"/>
  <c r="B58" i="4"/>
  <c r="B18" i="4" s="1"/>
  <c r="D34" i="46" s="1"/>
  <c r="B56" i="4"/>
  <c r="B15" i="4" s="1"/>
  <c r="B52" i="4"/>
  <c r="B50" i="4"/>
  <c r="C8" i="3"/>
  <c r="J8" i="3"/>
  <c r="J11" i="3"/>
  <c r="G13" i="3"/>
  <c r="D7" i="54" s="1"/>
  <c r="C331" i="12"/>
  <c r="F2" i="2"/>
  <c r="F16" i="2" s="1"/>
  <c r="H11" i="3"/>
  <c r="B11" i="3"/>
  <c r="F12" i="3"/>
  <c r="F421" i="12" s="1"/>
  <c r="B8" i="3"/>
  <c r="F8" i="3"/>
  <c r="B12" i="3"/>
  <c r="H12" i="3"/>
  <c r="G6" i="55" s="1"/>
  <c r="G15" i="3"/>
  <c r="D8" i="54" s="1"/>
  <c r="B16" i="3"/>
  <c r="H16" i="3"/>
  <c r="H8" i="3"/>
  <c r="E14" i="3"/>
  <c r="F14" i="3"/>
  <c r="E16" i="3"/>
  <c r="E12" i="3"/>
  <c r="G6" i="52" s="1"/>
  <c r="H13" i="3"/>
  <c r="D7" i="55" s="1"/>
  <c r="H15" i="3"/>
  <c r="D8" i="55" s="1"/>
  <c r="E8" i="3"/>
  <c r="B13" i="3"/>
  <c r="B15" i="3"/>
  <c r="F16" i="3"/>
  <c r="E11" i="3"/>
  <c r="Q20" i="46" l="1"/>
  <c r="F19" i="11"/>
  <c r="P92" i="53" s="1"/>
  <c r="F110" i="11"/>
  <c r="K103" i="53" s="1"/>
  <c r="E502" i="12"/>
  <c r="F2" i="11"/>
  <c r="J14" i="4"/>
  <c r="J25" i="4"/>
  <c r="J23" i="4"/>
  <c r="J28" i="4"/>
  <c r="S13" i="57" s="1"/>
  <c r="J29" i="4"/>
  <c r="J8" i="4"/>
  <c r="J2" i="4"/>
  <c r="S12" i="57" s="1"/>
  <c r="J5" i="4"/>
  <c r="J30" i="4"/>
  <c r="J12" i="4"/>
  <c r="S14" i="57" s="1"/>
  <c r="J4" i="4"/>
  <c r="J6" i="4"/>
  <c r="F332" i="12"/>
  <c r="K62" i="53"/>
  <c r="I62" i="53" s="1"/>
  <c r="G20" i="53"/>
  <c r="F424" i="12"/>
  <c r="F418" i="12" s="1"/>
  <c r="E20" i="53" s="1"/>
  <c r="B70" i="4"/>
  <c r="B2" i="11" s="1"/>
  <c r="B64" i="11" s="1"/>
  <c r="D8" i="46"/>
  <c r="F426" i="12"/>
  <c r="Q20" i="53"/>
  <c r="H502" i="12"/>
  <c r="G21" i="53"/>
  <c r="F451" i="12"/>
  <c r="F445" i="12" s="1"/>
  <c r="E21" i="53" s="1"/>
  <c r="F453" i="12"/>
  <c r="Q21" i="53"/>
  <c r="E331" i="12"/>
  <c r="E332" i="12" s="1"/>
  <c r="E475" i="12"/>
  <c r="E428" i="12"/>
  <c r="Q20" i="52" s="1"/>
  <c r="C333" i="12"/>
  <c r="R62" i="51" s="1"/>
  <c r="K62" i="51"/>
  <c r="C332" i="12"/>
  <c r="C424" i="12"/>
  <c r="C418" i="12" s="1"/>
  <c r="E20" i="51" s="1"/>
  <c r="F370" i="12"/>
  <c r="F364" i="12" s="1"/>
  <c r="E18" i="53" s="1"/>
  <c r="C37" i="4"/>
  <c r="C38" i="4"/>
  <c r="C39" i="4"/>
  <c r="B16" i="4"/>
  <c r="D33" i="46" s="1"/>
  <c r="D7" i="46"/>
  <c r="G6" i="46"/>
  <c r="B9" i="4"/>
  <c r="D27" i="46" s="1"/>
  <c r="B11" i="4"/>
  <c r="D29" i="46" s="1"/>
  <c r="B331" i="12"/>
  <c r="B24" i="4"/>
  <c r="D37" i="46" s="1"/>
  <c r="B27" i="4"/>
  <c r="R28" i="46" s="1"/>
  <c r="C3" i="1"/>
  <c r="E3" i="1"/>
  <c r="H331" i="12"/>
  <c r="Q22" i="55"/>
  <c r="H475" i="12"/>
  <c r="F3" i="1"/>
  <c r="C67" i="50"/>
  <c r="C75" i="50"/>
  <c r="C68" i="50"/>
  <c r="C73" i="50"/>
  <c r="C74" i="50"/>
  <c r="C70" i="50"/>
  <c r="C72" i="50"/>
  <c r="C28" i="50"/>
  <c r="J3" i="1"/>
  <c r="B10" i="50"/>
  <c r="I5" i="52"/>
  <c r="I5" i="53"/>
  <c r="I5" i="51"/>
  <c r="G30" i="4"/>
  <c r="R31" i="54" s="1"/>
  <c r="T31" i="54"/>
  <c r="D6" i="51"/>
  <c r="D31" i="51"/>
  <c r="S15" i="51" s="1"/>
  <c r="F31" i="51"/>
  <c r="F2" i="4"/>
  <c r="C15" i="53" s="1"/>
  <c r="S12" i="53" s="1"/>
  <c r="E15" i="53"/>
  <c r="R28" i="51"/>
  <c r="T28" i="51"/>
  <c r="D31" i="54"/>
  <c r="S15" i="54" s="1"/>
  <c r="F31" i="54"/>
  <c r="G28" i="4"/>
  <c r="R29" i="54" s="1"/>
  <c r="S13" i="54" s="1"/>
  <c r="T29" i="54"/>
  <c r="P9" i="51"/>
  <c r="H94" i="51"/>
  <c r="H93" i="51"/>
  <c r="C2" i="11"/>
  <c r="B102" i="53"/>
  <c r="D6" i="52"/>
  <c r="R30" i="51"/>
  <c r="T30" i="51"/>
  <c r="D30" i="54"/>
  <c r="S14" i="54" s="1"/>
  <c r="F30" i="54"/>
  <c r="G8" i="4"/>
  <c r="D26" i="54" s="1"/>
  <c r="F26" i="54"/>
  <c r="G8" i="52"/>
  <c r="D30" i="51"/>
  <c r="S14" i="51" s="1"/>
  <c r="F30" i="51"/>
  <c r="D37" i="54"/>
  <c r="F37" i="54"/>
  <c r="R26" i="54"/>
  <c r="T26" i="54"/>
  <c r="G8" i="46"/>
  <c r="R27" i="52"/>
  <c r="T27" i="52"/>
  <c r="D29" i="55"/>
  <c r="F29" i="55"/>
  <c r="C2" i="4"/>
  <c r="C15" i="51" s="1"/>
  <c r="S12" i="51" s="1"/>
  <c r="E15" i="51"/>
  <c r="D32" i="54"/>
  <c r="F32" i="54"/>
  <c r="G5" i="4"/>
  <c r="C13" i="54" s="1"/>
  <c r="E13" i="54"/>
  <c r="G38" i="4"/>
  <c r="B93" i="54" s="1"/>
  <c r="D27" i="55"/>
  <c r="F27" i="55"/>
  <c r="E6" i="4"/>
  <c r="C14" i="52" s="1"/>
  <c r="E14" i="52"/>
  <c r="C28" i="4"/>
  <c r="R29" i="51" s="1"/>
  <c r="S13" i="51" s="1"/>
  <c r="T29" i="51"/>
  <c r="D35" i="51"/>
  <c r="F35" i="51"/>
  <c r="C4" i="4"/>
  <c r="C29" i="50" s="1"/>
  <c r="E12" i="51"/>
  <c r="D27" i="54"/>
  <c r="F27" i="54"/>
  <c r="G39" i="4"/>
  <c r="B94" i="54" s="1"/>
  <c r="R27" i="53"/>
  <c r="T27" i="53"/>
  <c r="D6" i="46"/>
  <c r="F6" i="4"/>
  <c r="C14" i="53" s="1"/>
  <c r="E14" i="53"/>
  <c r="R27" i="51"/>
  <c r="T27" i="51"/>
  <c r="R28" i="54"/>
  <c r="T28" i="54"/>
  <c r="F37" i="46"/>
  <c r="F88" i="4"/>
  <c r="F94" i="4" s="1"/>
  <c r="F95" i="4" s="1"/>
  <c r="G7" i="53"/>
  <c r="T28" i="46"/>
  <c r="D37" i="51"/>
  <c r="F37" i="51"/>
  <c r="E88" i="4"/>
  <c r="E94" i="4" s="1"/>
  <c r="E95" i="4" s="1"/>
  <c r="G7" i="52"/>
  <c r="R26" i="51"/>
  <c r="T26" i="51"/>
  <c r="D33" i="51"/>
  <c r="F33" i="51"/>
  <c r="D35" i="52"/>
  <c r="F35" i="52"/>
  <c r="F27" i="46"/>
  <c r="R30" i="52"/>
  <c r="T30" i="52"/>
  <c r="C5" i="4"/>
  <c r="C30" i="50" s="1"/>
  <c r="E13" i="51"/>
  <c r="D37" i="55"/>
  <c r="F37" i="55"/>
  <c r="C6" i="4"/>
  <c r="C14" i="51" s="1"/>
  <c r="E14" i="51"/>
  <c r="D33" i="54"/>
  <c r="F33" i="54"/>
  <c r="G6" i="53"/>
  <c r="D6" i="55"/>
  <c r="D32" i="51"/>
  <c r="F32" i="51"/>
  <c r="R30" i="53"/>
  <c r="T30" i="53"/>
  <c r="G8" i="53"/>
  <c r="C8" i="4"/>
  <c r="D26" i="51" s="1"/>
  <c r="F26" i="51"/>
  <c r="F29" i="46"/>
  <c r="E2" i="4"/>
  <c r="C15" i="52" s="1"/>
  <c r="S12" i="52" s="1"/>
  <c r="E15" i="52"/>
  <c r="C30" i="4"/>
  <c r="R31" i="51" s="1"/>
  <c r="T31" i="51"/>
  <c r="R28" i="55"/>
  <c r="T28" i="55"/>
  <c r="D36" i="51"/>
  <c r="F36" i="51"/>
  <c r="F10" i="4"/>
  <c r="D28" i="53" s="1"/>
  <c r="F28" i="53"/>
  <c r="F4" i="4"/>
  <c r="C12" i="53" s="1"/>
  <c r="E12" i="53"/>
  <c r="G2" i="11"/>
  <c r="G39" i="11" s="1"/>
  <c r="B124" i="54" s="1"/>
  <c r="P9" i="54"/>
  <c r="H94" i="54"/>
  <c r="H93" i="54"/>
  <c r="D35" i="53"/>
  <c r="F35" i="53"/>
  <c r="F33" i="46"/>
  <c r="D27" i="51"/>
  <c r="F27" i="51"/>
  <c r="G8" i="55"/>
  <c r="D36" i="52"/>
  <c r="F36" i="52"/>
  <c r="E4" i="4"/>
  <c r="C12" i="52" s="1"/>
  <c r="E12" i="52"/>
  <c r="D36" i="53"/>
  <c r="F36" i="53"/>
  <c r="D33" i="55"/>
  <c r="F33" i="55"/>
  <c r="D29" i="51"/>
  <c r="F29" i="51"/>
  <c r="D29" i="54"/>
  <c r="F29" i="54"/>
  <c r="I7" i="54"/>
  <c r="I7" i="51"/>
  <c r="F372" i="12"/>
  <c r="F399" i="12"/>
  <c r="B421" i="12"/>
  <c r="B341" i="12"/>
  <c r="E341" i="12"/>
  <c r="M7" i="52" s="1"/>
  <c r="E421" i="12"/>
  <c r="G20" i="52" s="1"/>
  <c r="Q18" i="55"/>
  <c r="H448" i="12"/>
  <c r="G21" i="55" s="1"/>
  <c r="H394" i="12"/>
  <c r="G19" i="55" s="1"/>
  <c r="Q21" i="55"/>
  <c r="H367" i="12"/>
  <c r="G18" i="55" s="1"/>
  <c r="Q19" i="55"/>
  <c r="F341" i="12"/>
  <c r="M7" i="53" s="1"/>
  <c r="Q18" i="46"/>
  <c r="B367" i="12"/>
  <c r="Q19" i="46"/>
  <c r="B448" i="12"/>
  <c r="B394" i="12"/>
  <c r="Q21" i="46"/>
  <c r="Q19" i="52"/>
  <c r="E448" i="12"/>
  <c r="G21" i="52" s="1"/>
  <c r="Q18" i="52"/>
  <c r="E367" i="12"/>
  <c r="G18" i="52" s="1"/>
  <c r="E394" i="12"/>
  <c r="G19" i="52" s="1"/>
  <c r="Q21" i="52"/>
  <c r="C367" i="12"/>
  <c r="G18" i="51" s="1"/>
  <c r="Q19" i="51"/>
  <c r="C448" i="12"/>
  <c r="G21" i="51" s="1"/>
  <c r="Q18" i="51"/>
  <c r="C394" i="12"/>
  <c r="G19" i="51" s="1"/>
  <c r="Q21" i="51"/>
  <c r="F394" i="12"/>
  <c r="G19" i="53" s="1"/>
  <c r="H421" i="12"/>
  <c r="G20" i="55" s="1"/>
  <c r="H341" i="12"/>
  <c r="M7" i="55" s="1"/>
  <c r="F39" i="4"/>
  <c r="B94" i="53" s="1"/>
  <c r="F38" i="4"/>
  <c r="B93" i="53" s="1"/>
  <c r="F37" i="4"/>
  <c r="I9" i="53" s="1"/>
  <c r="J17" i="3"/>
  <c r="H51" i="4"/>
  <c r="H70" i="4"/>
  <c r="E51" i="4"/>
  <c r="E70" i="4"/>
  <c r="C51" i="4"/>
  <c r="H68" i="4"/>
  <c r="H46" i="4"/>
  <c r="H49" i="4"/>
  <c r="H66" i="4"/>
  <c r="G2" i="2"/>
  <c r="G16" i="2" s="1"/>
  <c r="G45" i="4"/>
  <c r="H47" i="4"/>
  <c r="H64" i="4"/>
  <c r="H26" i="4" s="1"/>
  <c r="H61" i="4"/>
  <c r="H23" i="4" s="1"/>
  <c r="H42" i="4"/>
  <c r="H67" i="4"/>
  <c r="H29" i="4" s="1"/>
  <c r="H60" i="4"/>
  <c r="H22" i="4" s="1"/>
  <c r="E55" i="4"/>
  <c r="E14" i="4" s="1"/>
  <c r="E53" i="4"/>
  <c r="E12" i="4" s="1"/>
  <c r="E63" i="4"/>
  <c r="E25" i="4" s="1"/>
  <c r="E54" i="4"/>
  <c r="E13" i="4" s="1"/>
  <c r="F46" i="4"/>
  <c r="F49" i="4"/>
  <c r="F66" i="4"/>
  <c r="F68" i="4"/>
  <c r="F55" i="4"/>
  <c r="F14" i="4" s="1"/>
  <c r="F53" i="4"/>
  <c r="F12" i="4" s="1"/>
  <c r="F63" i="4"/>
  <c r="F25" i="4" s="1"/>
  <c r="F54" i="4"/>
  <c r="F13" i="4" s="1"/>
  <c r="B2" i="2"/>
  <c r="B16" i="2" s="1"/>
  <c r="B45" i="4"/>
  <c r="E46" i="4"/>
  <c r="E49" i="4"/>
  <c r="E66" i="4"/>
  <c r="E68" i="4"/>
  <c r="E62" i="4"/>
  <c r="E24" i="4" s="1"/>
  <c r="E58" i="4"/>
  <c r="E18" i="4" s="1"/>
  <c r="E56" i="4"/>
  <c r="E15" i="4" s="1"/>
  <c r="E52" i="4"/>
  <c r="E11" i="4" s="1"/>
  <c r="E50" i="4"/>
  <c r="E9" i="4" s="1"/>
  <c r="E59" i="4"/>
  <c r="E20" i="4" s="1"/>
  <c r="E57" i="4"/>
  <c r="E16" i="4" s="1"/>
  <c r="E65" i="4"/>
  <c r="E27" i="4" s="1"/>
  <c r="G42" i="4"/>
  <c r="G67" i="4"/>
  <c r="G29" i="4" s="1"/>
  <c r="G61" i="4"/>
  <c r="G23" i="4" s="1"/>
  <c r="G47" i="4"/>
  <c r="G64" i="4"/>
  <c r="G26" i="4" s="1"/>
  <c r="G60" i="4"/>
  <c r="G22" i="4" s="1"/>
  <c r="B47" i="4"/>
  <c r="B64" i="4"/>
  <c r="B60" i="4"/>
  <c r="B61" i="4"/>
  <c r="B42" i="4"/>
  <c r="B67" i="4"/>
  <c r="H54" i="4"/>
  <c r="H13" i="4" s="1"/>
  <c r="H55" i="4"/>
  <c r="H14" i="4" s="1"/>
  <c r="H53" i="4"/>
  <c r="H12" i="4" s="1"/>
  <c r="H63" i="4"/>
  <c r="H25" i="4" s="1"/>
  <c r="H2" i="2"/>
  <c r="H16" i="2" s="1"/>
  <c r="H45" i="4"/>
  <c r="F62" i="4"/>
  <c r="F24" i="4" s="1"/>
  <c r="F58" i="4"/>
  <c r="F56" i="4"/>
  <c r="F15" i="4" s="1"/>
  <c r="F52" i="4"/>
  <c r="F11" i="4" s="1"/>
  <c r="F50" i="4"/>
  <c r="F9" i="4" s="1"/>
  <c r="F59" i="4"/>
  <c r="F20" i="4" s="1"/>
  <c r="F57" i="4"/>
  <c r="F16" i="4" s="1"/>
  <c r="F65" i="4"/>
  <c r="F27" i="4" s="1"/>
  <c r="B54" i="4"/>
  <c r="B63" i="4"/>
  <c r="B55" i="4"/>
  <c r="B53" i="4"/>
  <c r="B68" i="4"/>
  <c r="B46" i="4"/>
  <c r="B49" i="4"/>
  <c r="B66" i="4"/>
  <c r="B26" i="3"/>
  <c r="B51" i="4"/>
  <c r="J37" i="4"/>
  <c r="J51" i="4"/>
  <c r="C17" i="3"/>
  <c r="E17" i="3"/>
  <c r="G8" i="3"/>
  <c r="G11" i="3"/>
  <c r="F17" i="3"/>
  <c r="B17" i="3"/>
  <c r="H17" i="3"/>
  <c r="C92" i="11" l="1"/>
  <c r="C64" i="11"/>
  <c r="G22" i="46"/>
  <c r="E22" i="46"/>
  <c r="Q22" i="46"/>
  <c r="E2" i="11"/>
  <c r="E37" i="4"/>
  <c r="F56" i="11"/>
  <c r="B100" i="53" s="1"/>
  <c r="F124" i="11"/>
  <c r="K110" i="53" s="1"/>
  <c r="C60" i="11"/>
  <c r="B102" i="51" s="1"/>
  <c r="C68" i="11"/>
  <c r="B106" i="51" s="1"/>
  <c r="F68" i="11"/>
  <c r="B106" i="53" s="1"/>
  <c r="F64" i="11"/>
  <c r="B104" i="53" s="1"/>
  <c r="P9" i="46"/>
  <c r="H94" i="46"/>
  <c r="J4" i="1"/>
  <c r="T4" i="1" s="1"/>
  <c r="T3" i="1" s="1"/>
  <c r="H93" i="46"/>
  <c r="E4" i="1"/>
  <c r="O4" i="1" s="1"/>
  <c r="O3" i="1" s="1"/>
  <c r="C4" i="1"/>
  <c r="M4" i="1" s="1"/>
  <c r="M3" i="1" s="1"/>
  <c r="F4" i="1"/>
  <c r="P4" i="1" s="1"/>
  <c r="P3" i="1" s="1"/>
  <c r="O62" i="53"/>
  <c r="M62" i="53" s="1"/>
  <c r="G23" i="52"/>
  <c r="E505" i="12"/>
  <c r="E499" i="12" s="1"/>
  <c r="E23" i="52" s="1"/>
  <c r="E507" i="12"/>
  <c r="Q23" i="52"/>
  <c r="C90" i="50"/>
  <c r="B152" i="51" s="1"/>
  <c r="J10" i="4"/>
  <c r="K62" i="52"/>
  <c r="I62" i="52" s="1"/>
  <c r="Q23" i="55"/>
  <c r="H507" i="12"/>
  <c r="E333" i="12"/>
  <c r="R62" i="52" s="1"/>
  <c r="G23" i="55"/>
  <c r="H505" i="12"/>
  <c r="H499" i="12" s="1"/>
  <c r="E23" i="55" s="1"/>
  <c r="G331" i="12"/>
  <c r="G333" i="12" s="1"/>
  <c r="R62" i="54" s="1"/>
  <c r="G421" i="12"/>
  <c r="E480" i="12"/>
  <c r="Q22" i="52"/>
  <c r="G22" i="52"/>
  <c r="E478" i="12"/>
  <c r="E472" i="12" s="1"/>
  <c r="E22" i="52" s="1"/>
  <c r="H333" i="12"/>
  <c r="R62" i="55" s="1"/>
  <c r="K62" i="55"/>
  <c r="O62" i="51"/>
  <c r="M62" i="51" s="1"/>
  <c r="I62" i="51"/>
  <c r="H332" i="12"/>
  <c r="H478" i="12"/>
  <c r="H472" i="12" s="1"/>
  <c r="E22" i="55" s="1"/>
  <c r="G22" i="55"/>
  <c r="C451" i="12"/>
  <c r="C445" i="12" s="1"/>
  <c r="E21" i="51" s="1"/>
  <c r="G21" i="46"/>
  <c r="B451" i="12"/>
  <c r="B445" i="12" s="1"/>
  <c r="E21" i="46" s="1"/>
  <c r="G20" i="46"/>
  <c r="B424" i="12"/>
  <c r="B418" i="12" s="1"/>
  <c r="E424" i="12"/>
  <c r="E418" i="12" s="1"/>
  <c r="E20" i="52" s="1"/>
  <c r="E451" i="12"/>
  <c r="E445" i="12" s="1"/>
  <c r="E21" i="52" s="1"/>
  <c r="H424" i="12"/>
  <c r="H418" i="12" s="1"/>
  <c r="E20" i="55" s="1"/>
  <c r="H451" i="12"/>
  <c r="H445" i="12" s="1"/>
  <c r="E21" i="55" s="1"/>
  <c r="C397" i="12"/>
  <c r="C391" i="12" s="1"/>
  <c r="E19" i="51" s="1"/>
  <c r="E397" i="12"/>
  <c r="E391" i="12" s="1"/>
  <c r="E19" i="52" s="1"/>
  <c r="G19" i="46"/>
  <c r="B397" i="12"/>
  <c r="B391" i="12" s="1"/>
  <c r="F397" i="12"/>
  <c r="F391" i="12" s="1"/>
  <c r="E19" i="53" s="1"/>
  <c r="H397" i="12"/>
  <c r="H391" i="12" s="1"/>
  <c r="E19" i="55" s="1"/>
  <c r="B370" i="12"/>
  <c r="B364" i="12" s="1"/>
  <c r="G18" i="46"/>
  <c r="C370" i="12"/>
  <c r="C364" i="12" s="1"/>
  <c r="E18" i="51" s="1"/>
  <c r="E370" i="12"/>
  <c r="E364" i="12" s="1"/>
  <c r="E18" i="52" s="1"/>
  <c r="H370" i="12"/>
  <c r="H364" i="12" s="1"/>
  <c r="E18" i="55" s="1"/>
  <c r="B104" i="46"/>
  <c r="B118" i="51"/>
  <c r="C84" i="11"/>
  <c r="B114" i="51" s="1"/>
  <c r="B12" i="4"/>
  <c r="S14" i="56" s="1"/>
  <c r="B25" i="4"/>
  <c r="R26" i="46" s="1"/>
  <c r="B14" i="4"/>
  <c r="D32" i="46" s="1"/>
  <c r="B13" i="4"/>
  <c r="S15" i="56" s="1"/>
  <c r="K62" i="46"/>
  <c r="I62" i="46" s="1"/>
  <c r="B23" i="4"/>
  <c r="D36" i="46" s="1"/>
  <c r="B29" i="4"/>
  <c r="R30" i="46" s="1"/>
  <c r="B22" i="4"/>
  <c r="D35" i="46" s="1"/>
  <c r="B26" i="4"/>
  <c r="R27" i="46" s="1"/>
  <c r="M7" i="46"/>
  <c r="F18" i="4"/>
  <c r="D34" i="53" s="1"/>
  <c r="G3" i="1"/>
  <c r="H3" i="1"/>
  <c r="H480" i="12"/>
  <c r="B3" i="1"/>
  <c r="B89" i="50"/>
  <c r="C11" i="50"/>
  <c r="I5" i="55"/>
  <c r="C13" i="51"/>
  <c r="I5" i="54"/>
  <c r="I5" i="46"/>
  <c r="C31" i="50"/>
  <c r="D36" i="54"/>
  <c r="F36" i="54"/>
  <c r="F8" i="4"/>
  <c r="D26" i="53" s="1"/>
  <c r="F26" i="53"/>
  <c r="D31" i="52"/>
  <c r="S15" i="52" s="1"/>
  <c r="F31" i="52"/>
  <c r="R26" i="52"/>
  <c r="T26" i="52"/>
  <c r="B10" i="4"/>
  <c r="F28" i="46"/>
  <c r="T30" i="46"/>
  <c r="R28" i="52"/>
  <c r="T28" i="52"/>
  <c r="E12" i="46"/>
  <c r="B4" i="4"/>
  <c r="D30" i="52"/>
  <c r="S14" i="52" s="1"/>
  <c r="F30" i="52"/>
  <c r="H5" i="4"/>
  <c r="C13" i="55" s="1"/>
  <c r="E13" i="55"/>
  <c r="G6" i="4"/>
  <c r="C14" i="54" s="1"/>
  <c r="E14" i="54"/>
  <c r="D30" i="55"/>
  <c r="S14" i="55" s="1"/>
  <c r="F30" i="55"/>
  <c r="D32" i="55"/>
  <c r="F32" i="55"/>
  <c r="D31" i="55"/>
  <c r="S15" i="55" s="1"/>
  <c r="F31" i="55"/>
  <c r="E5" i="4"/>
  <c r="C13" i="52" s="1"/>
  <c r="E13" i="52"/>
  <c r="D27" i="53"/>
  <c r="F27" i="53"/>
  <c r="B28" i="4"/>
  <c r="T29" i="46"/>
  <c r="D35" i="55"/>
  <c r="F35" i="55"/>
  <c r="C56" i="11"/>
  <c r="B100" i="51" s="1"/>
  <c r="B104" i="51"/>
  <c r="C72" i="11"/>
  <c r="B108" i="51" s="1"/>
  <c r="R26" i="55"/>
  <c r="T26" i="55"/>
  <c r="G4" i="4"/>
  <c r="C12" i="54" s="1"/>
  <c r="E12" i="54"/>
  <c r="R28" i="53"/>
  <c r="T28" i="53"/>
  <c r="D33" i="53"/>
  <c r="F34" i="53"/>
  <c r="F33" i="53"/>
  <c r="H8" i="4"/>
  <c r="D26" i="55" s="1"/>
  <c r="F26" i="55"/>
  <c r="D29" i="53"/>
  <c r="F29" i="53"/>
  <c r="F36" i="46"/>
  <c r="D31" i="53"/>
  <c r="S15" i="53" s="1"/>
  <c r="F31" i="53"/>
  <c r="C10" i="4"/>
  <c r="D28" i="51" s="1"/>
  <c r="F28" i="51"/>
  <c r="F26" i="46"/>
  <c r="B8" i="4"/>
  <c r="F35" i="46"/>
  <c r="D27" i="52"/>
  <c r="F27" i="52"/>
  <c r="R26" i="53"/>
  <c r="T26" i="53"/>
  <c r="R30" i="55"/>
  <c r="T30" i="55"/>
  <c r="I9" i="52"/>
  <c r="H94" i="52"/>
  <c r="P9" i="52"/>
  <c r="H93" i="52"/>
  <c r="C12" i="51"/>
  <c r="E28" i="4"/>
  <c r="R29" i="52" s="1"/>
  <c r="S13" i="52" s="1"/>
  <c r="T29" i="52"/>
  <c r="B5" i="4"/>
  <c r="E13" i="46"/>
  <c r="D30" i="53"/>
  <c r="S14" i="53" s="1"/>
  <c r="F30" i="53"/>
  <c r="D36" i="55"/>
  <c r="F36" i="55"/>
  <c r="H37" i="4"/>
  <c r="I9" i="55" s="1"/>
  <c r="H2" i="11"/>
  <c r="H94" i="55"/>
  <c r="P9" i="55"/>
  <c r="H93" i="55"/>
  <c r="T26" i="46"/>
  <c r="E30" i="4"/>
  <c r="R31" i="52" s="1"/>
  <c r="T31" i="52"/>
  <c r="F31" i="46"/>
  <c r="F5" i="4"/>
  <c r="C13" i="53" s="1"/>
  <c r="E13" i="53"/>
  <c r="R30" i="54"/>
  <c r="T30" i="54"/>
  <c r="E8" i="4"/>
  <c r="D26" i="52" s="1"/>
  <c r="F26" i="52"/>
  <c r="H28" i="4"/>
  <c r="R29" i="55" s="1"/>
  <c r="S13" i="55" s="1"/>
  <c r="T29" i="55"/>
  <c r="D33" i="52"/>
  <c r="F33" i="52"/>
  <c r="H30" i="4"/>
  <c r="R31" i="55" s="1"/>
  <c r="T31" i="55"/>
  <c r="D29" i="52"/>
  <c r="F29" i="52"/>
  <c r="B30" i="4"/>
  <c r="T31" i="46"/>
  <c r="D37" i="53"/>
  <c r="F37" i="53"/>
  <c r="D32" i="53"/>
  <c r="F32" i="53"/>
  <c r="H10" i="4"/>
  <c r="D28" i="55" s="1"/>
  <c r="F28" i="55"/>
  <c r="G2" i="4"/>
  <c r="C15" i="54" s="1"/>
  <c r="S12" i="54" s="1"/>
  <c r="E15" i="54"/>
  <c r="B2" i="4"/>
  <c r="E15" i="46"/>
  <c r="D32" i="52"/>
  <c r="F32" i="52"/>
  <c r="T27" i="46"/>
  <c r="H2" i="4"/>
  <c r="C15" i="55" s="1"/>
  <c r="S12" i="55" s="1"/>
  <c r="E15" i="55"/>
  <c r="E10" i="4"/>
  <c r="D28" i="52" s="1"/>
  <c r="F28" i="52"/>
  <c r="B6" i="4"/>
  <c r="E14" i="46"/>
  <c r="D6" i="54"/>
  <c r="F30" i="46"/>
  <c r="H4" i="4"/>
  <c r="C12" i="55" s="1"/>
  <c r="E12" i="55"/>
  <c r="D35" i="54"/>
  <c r="F35" i="54"/>
  <c r="F30" i="4"/>
  <c r="R31" i="53" s="1"/>
  <c r="T31" i="53"/>
  <c r="R27" i="55"/>
  <c r="T27" i="55"/>
  <c r="F32" i="46"/>
  <c r="R27" i="54"/>
  <c r="T27" i="54"/>
  <c r="D37" i="52"/>
  <c r="F37" i="52"/>
  <c r="F28" i="4"/>
  <c r="R29" i="53" s="1"/>
  <c r="S13" i="53" s="1"/>
  <c r="T29" i="53"/>
  <c r="H6" i="4"/>
  <c r="C14" i="55" s="1"/>
  <c r="E14" i="55"/>
  <c r="I7" i="55"/>
  <c r="I7" i="52"/>
  <c r="C453" i="12"/>
  <c r="E399" i="12"/>
  <c r="H453" i="12"/>
  <c r="C372" i="12"/>
  <c r="H372" i="12"/>
  <c r="C399" i="12"/>
  <c r="E453" i="12"/>
  <c r="E372" i="12"/>
  <c r="E426" i="12"/>
  <c r="H399" i="12"/>
  <c r="I7" i="53"/>
  <c r="B453" i="12"/>
  <c r="B399" i="12"/>
  <c r="B372" i="12"/>
  <c r="B426" i="12"/>
  <c r="Q19" i="54"/>
  <c r="G448" i="12"/>
  <c r="G21" i="54" s="1"/>
  <c r="Q18" i="54"/>
  <c r="G394" i="12"/>
  <c r="G19" i="54" s="1"/>
  <c r="Q21" i="54"/>
  <c r="G367" i="12"/>
  <c r="G18" i="54" s="1"/>
  <c r="B94" i="51"/>
  <c r="B93" i="51"/>
  <c r="I9" i="51"/>
  <c r="G51" i="4"/>
  <c r="B37" i="4"/>
  <c r="B39" i="4"/>
  <c r="B38" i="4"/>
  <c r="G17" i="3"/>
  <c r="B4" i="1" l="1"/>
  <c r="L4" i="1" s="1"/>
  <c r="L3" i="1" s="1"/>
  <c r="H4" i="1"/>
  <c r="R4" i="1" s="1"/>
  <c r="R3" i="1" s="1"/>
  <c r="G4" i="1"/>
  <c r="Q4" i="1" s="1"/>
  <c r="Q3" i="1" s="1"/>
  <c r="D31" i="46"/>
  <c r="S15" i="46" s="1"/>
  <c r="O62" i="52"/>
  <c r="M62" i="52" s="1"/>
  <c r="G332" i="12"/>
  <c r="G20" i="54"/>
  <c r="G424" i="12"/>
  <c r="G418" i="12" s="1"/>
  <c r="E20" i="54" s="1"/>
  <c r="Q20" i="54"/>
  <c r="G426" i="12"/>
  <c r="K62" i="54"/>
  <c r="I62" i="54" s="1"/>
  <c r="D30" i="46"/>
  <c r="S14" i="46" s="1"/>
  <c r="O62" i="55"/>
  <c r="M62" i="55" s="1"/>
  <c r="I62" i="55"/>
  <c r="G451" i="12"/>
  <c r="G445" i="12" s="1"/>
  <c r="E21" i="54" s="1"/>
  <c r="G397" i="12"/>
  <c r="G391" i="12" s="1"/>
  <c r="E19" i="54" s="1"/>
  <c r="G370" i="12"/>
  <c r="G364" i="12" s="1"/>
  <c r="E18" i="54" s="1"/>
  <c r="O62" i="46"/>
  <c r="M62" i="46" s="1"/>
  <c r="R29" i="46"/>
  <c r="S13" i="46" s="1"/>
  <c r="S13" i="56"/>
  <c r="D28" i="46"/>
  <c r="R31" i="46"/>
  <c r="E19" i="46"/>
  <c r="C15" i="46"/>
  <c r="S12" i="46" s="1"/>
  <c r="S12" i="56"/>
  <c r="C13" i="46"/>
  <c r="C14" i="46"/>
  <c r="C12" i="46"/>
  <c r="B151" i="46"/>
  <c r="E18" i="46"/>
  <c r="B94" i="46"/>
  <c r="D26" i="46"/>
  <c r="I9" i="46"/>
  <c r="I7" i="46"/>
  <c r="E20" i="46"/>
  <c r="C89" i="50"/>
  <c r="B151" i="51" s="1"/>
  <c r="G10" i="4"/>
  <c r="D28" i="54" s="1"/>
  <c r="F28" i="54"/>
  <c r="B93" i="46"/>
  <c r="G453" i="12"/>
  <c r="G372" i="12"/>
  <c r="G399" i="12"/>
  <c r="O62" i="54" l="1"/>
  <c r="M62" i="54" s="1"/>
  <c r="V2" i="1"/>
  <c r="B329" i="12"/>
  <c r="G62" i="46" l="1"/>
  <c r="B333" i="12"/>
  <c r="R62" i="46" s="1"/>
  <c r="B332" i="12"/>
</calcChain>
</file>

<file path=xl/sharedStrings.xml><?xml version="1.0" encoding="utf-8"?>
<sst xmlns="http://schemas.openxmlformats.org/spreadsheetml/2006/main" count="5721" uniqueCount="1092">
  <si>
    <t>CON bonus/malus</t>
  </si>
  <si>
    <t>Max HP</t>
  </si>
  <si>
    <t>HP</t>
  </si>
  <si>
    <t>Buffs</t>
  </si>
  <si>
    <t>HP temp</t>
  </si>
  <si>
    <t>Variations</t>
  </si>
  <si>
    <t>Dés de vie</t>
  </si>
  <si>
    <t>Total</t>
  </si>
  <si>
    <t>CON</t>
  </si>
  <si>
    <t>Stats</t>
  </si>
  <si>
    <t>STR</t>
  </si>
  <si>
    <t>DEX</t>
  </si>
  <si>
    <t>INT</t>
  </si>
  <si>
    <t>WIS</t>
  </si>
  <si>
    <t>CHA</t>
  </si>
  <si>
    <t>Total PB</t>
  </si>
  <si>
    <t>Mod</t>
  </si>
  <si>
    <t>Total Traits &amp; Feats</t>
  </si>
  <si>
    <t>Total Niveau</t>
  </si>
  <si>
    <t>Skills</t>
  </si>
  <si>
    <t>Acrobatics</t>
  </si>
  <si>
    <t>Diplomacy</t>
  </si>
  <si>
    <t>Perception</t>
  </si>
  <si>
    <t>Stealth</t>
  </si>
  <si>
    <t>Survival</t>
  </si>
  <si>
    <t>Class</t>
  </si>
  <si>
    <t>Ancestry</t>
  </si>
  <si>
    <t>Feats</t>
  </si>
  <si>
    <t>HP/lvl</t>
  </si>
  <si>
    <t>Bonus</t>
  </si>
  <si>
    <t>Level=HD</t>
  </si>
  <si>
    <t>CON modifier</t>
  </si>
  <si>
    <t>Start HP</t>
  </si>
  <si>
    <t>Human</t>
  </si>
  <si>
    <t>Dwarf</t>
  </si>
  <si>
    <t>Elf</t>
  </si>
  <si>
    <t>Goblin</t>
  </si>
  <si>
    <t>Rogue</t>
  </si>
  <si>
    <t>Barbarian</t>
  </si>
  <si>
    <t>Wizard</t>
  </si>
  <si>
    <t>Fixed</t>
  </si>
  <si>
    <t>Free</t>
  </si>
  <si>
    <t>Background</t>
  </si>
  <si>
    <t>Total doit être 4</t>
  </si>
  <si>
    <t>Chaque cellule doit être à 0 ou 2</t>
  </si>
  <si>
    <t>Flaws</t>
  </si>
  <si>
    <t>On peut rajouter des flaws volontaires à -2</t>
  </si>
  <si>
    <t>Stats avant cap</t>
  </si>
  <si>
    <t>4 valeurs 2 à mettre</t>
  </si>
  <si>
    <t>Total doit être 8</t>
  </si>
  <si>
    <t>Total doit être 2</t>
  </si>
  <si>
    <t>Arcana</t>
  </si>
  <si>
    <t>Athletics</t>
  </si>
  <si>
    <t>Crafting</t>
  </si>
  <si>
    <t>Deception</t>
  </si>
  <si>
    <t>Intimidation</t>
  </si>
  <si>
    <t>Lore (Generic)</t>
  </si>
  <si>
    <t>Medecine</t>
  </si>
  <si>
    <t>Nature</t>
  </si>
  <si>
    <t>Occultism</t>
  </si>
  <si>
    <t>Performance</t>
  </si>
  <si>
    <t>Religion</t>
  </si>
  <si>
    <t>Society</t>
  </si>
  <si>
    <t>Thievery</t>
  </si>
  <si>
    <t>Fortitude</t>
  </si>
  <si>
    <t>Reflex</t>
  </si>
  <si>
    <t>Will</t>
  </si>
  <si>
    <t>Lore (Specific 1)</t>
  </si>
  <si>
    <t>Lore (Specific 2)</t>
  </si>
  <si>
    <t>Lore (Specific 3)</t>
  </si>
  <si>
    <t>Spell Attack roll</t>
  </si>
  <si>
    <t>Spell DC</t>
  </si>
  <si>
    <t>Simple weapons</t>
  </si>
  <si>
    <t>Martial weapons</t>
  </si>
  <si>
    <t>Unarmed attacks</t>
  </si>
  <si>
    <t>Light armor</t>
  </si>
  <si>
    <t>Heavy armor</t>
  </si>
  <si>
    <t>Unarmed defense</t>
  </si>
  <si>
    <t>Medium armor</t>
  </si>
  <si>
    <t>Ability</t>
  </si>
  <si>
    <t>Items</t>
  </si>
  <si>
    <t>Weapon</t>
  </si>
  <si>
    <t>Lore</t>
  </si>
  <si>
    <t>Subject :</t>
  </si>
  <si>
    <t>Class DC</t>
  </si>
  <si>
    <t>Divine</t>
  </si>
  <si>
    <t>Trained</t>
  </si>
  <si>
    <t>Untrained</t>
  </si>
  <si>
    <t>Expert</t>
  </si>
  <si>
    <t>Master</t>
  </si>
  <si>
    <t>Legendary</t>
  </si>
  <si>
    <t>Proficiency bonus</t>
  </si>
  <si>
    <t>Proficiency level</t>
  </si>
  <si>
    <t>Divinity</t>
  </si>
  <si>
    <t>Cayden Cailean</t>
  </si>
  <si>
    <t>Les cases grises doivent être à 0</t>
  </si>
  <si>
    <t>Deux cellules (dont au moins une grise) doivent être à 2, les autres à 0</t>
  </si>
  <si>
    <t>Warrior</t>
  </si>
  <si>
    <t>Warfare</t>
  </si>
  <si>
    <t>Heritage</t>
  </si>
  <si>
    <t>Alchemical bombs</t>
  </si>
  <si>
    <t>Specific weapons</t>
  </si>
  <si>
    <t>Tradition</t>
  </si>
  <si>
    <t>Specialty</t>
  </si>
  <si>
    <t>Armor penalty</t>
  </si>
  <si>
    <t>Level 1</t>
  </si>
  <si>
    <t>Feat</t>
  </si>
  <si>
    <t>Level 2</t>
  </si>
  <si>
    <t>Level 3</t>
  </si>
  <si>
    <t>Skill increase</t>
  </si>
  <si>
    <t>Skill feat</t>
  </si>
  <si>
    <t>Class feat</t>
  </si>
  <si>
    <t>General feat</t>
  </si>
  <si>
    <t>Level 4</t>
  </si>
  <si>
    <t>Level 5</t>
  </si>
  <si>
    <t>Level 6</t>
  </si>
  <si>
    <t>Level 7</t>
  </si>
  <si>
    <t>Level 8</t>
  </si>
  <si>
    <t>Level 10</t>
  </si>
  <si>
    <t>Level 9</t>
  </si>
  <si>
    <t>Fighter</t>
  </si>
  <si>
    <t>Nimble Dodge</t>
  </si>
  <si>
    <t>Advanced weapons</t>
  </si>
  <si>
    <t>Shield Block</t>
  </si>
  <si>
    <t>Une cellule doit être à 2</t>
  </si>
  <si>
    <t>Rage</t>
  </si>
  <si>
    <t>Ancestry feat</t>
  </si>
  <si>
    <t>Type (for filtering)</t>
  </si>
  <si>
    <t>Level (for filtering)</t>
  </si>
  <si>
    <t>Class ability</t>
  </si>
  <si>
    <t>Background Skill feat</t>
  </si>
  <si>
    <t>Skill feat (Rogue)</t>
  </si>
  <si>
    <t>Skill increase (Rogue)</t>
  </si>
  <si>
    <t>Rapier, sap, shortbow &amp; shortsword</t>
  </si>
  <si>
    <t>Unarmored defense</t>
  </si>
  <si>
    <t>Level 1 boost</t>
  </si>
  <si>
    <t>Level 5 boost</t>
  </si>
  <si>
    <t>Level 10 boost</t>
  </si>
  <si>
    <t>Clever</t>
  </si>
  <si>
    <t>Total skills proficiencies</t>
  </si>
  <si>
    <t>Check</t>
  </si>
  <si>
    <t>CC Class choice level 1</t>
  </si>
  <si>
    <t>CI Class imposed level 1</t>
  </si>
  <si>
    <t>B/BR Background (replace)</t>
  </si>
  <si>
    <t>CI</t>
  </si>
  <si>
    <t>S# Skill increases</t>
  </si>
  <si>
    <t>I# INT</t>
  </si>
  <si>
    <t>F# Feats</t>
  </si>
  <si>
    <t>B</t>
  </si>
  <si>
    <t>I1</t>
  </si>
  <si>
    <t>F1</t>
  </si>
  <si>
    <t>Cl</t>
  </si>
  <si>
    <t>Primal</t>
  </si>
  <si>
    <t>Top</t>
  </si>
  <si>
    <t>Tip</t>
  </si>
  <si>
    <t>Thalion</t>
  </si>
  <si>
    <t>Ithiel Theodrek</t>
  </si>
  <si>
    <t>Nom</t>
  </si>
  <si>
    <t>Sex</t>
  </si>
  <si>
    <t>Alignment</t>
  </si>
  <si>
    <t>Class details</t>
  </si>
  <si>
    <t>Class Abilities</t>
  </si>
  <si>
    <t>Skills trained</t>
  </si>
  <si>
    <t>Ancestry Feats</t>
  </si>
  <si>
    <t>Focus</t>
  </si>
  <si>
    <t>Cantrips</t>
  </si>
  <si>
    <t>Spells</t>
  </si>
  <si>
    <t>Ability Boosts</t>
  </si>
  <si>
    <t>Estelle</t>
  </si>
  <si>
    <t>Druid</t>
  </si>
  <si>
    <t>M</t>
  </si>
  <si>
    <t>Haunting Vision</t>
  </si>
  <si>
    <t>NG</t>
  </si>
  <si>
    <t>Order = Animal</t>
  </si>
  <si>
    <t>Trained in Perception
Trained in Fortitude
Trained in Reflex
Expert in Will
Trained in simple weapons
Trained in unarmed attacks
Trained in light armor
Trained in medium armor
Trained in unarmored defense</t>
  </si>
  <si>
    <t>Order = Animal Companion (Dromaeosaur)</t>
  </si>
  <si>
    <t>Order = Heal Animal</t>
  </si>
  <si>
    <t>Goblin = DEX
Goblin = CHA
Goblin FLAW = -WIS
Background = WIS
Druid = WIS</t>
  </si>
  <si>
    <t>Laurence</t>
  </si>
  <si>
    <t>Zabraarallongex</t>
  </si>
  <si>
    <t>Truth Seeker</t>
  </si>
  <si>
    <t>Nethys</t>
  </si>
  <si>
    <t>Arcane bond</t>
  </si>
  <si>
    <t>Trained in Perception
Trained in Fortitude
Trained in Reflex
Expert in Will
Trained in the club, crossbow, dagger, heavy crossbow, and staff
Trained in unarmed attacks
Trained in unarmored defense</t>
  </si>
  <si>
    <t>School = Charming Words</t>
  </si>
  <si>
    <t>Elf = DEX
Elf = INT
Elf FLAW = -CON
Background = WIS
Wizard = INT</t>
  </si>
  <si>
    <t>Luc</t>
  </si>
  <si>
    <t>Expert in Perception
Expert in Fortitude
Trained in Reflex
Expert in Will
Trained in simple weapons
Trained in martial weapons
Trained in unarmed attacks
Trained in light armor
Trained in medium armor
Trained in unarmored defense</t>
  </si>
  <si>
    <t>Olivier</t>
  </si>
  <si>
    <t>Cleric</t>
  </si>
  <si>
    <t>Dragon Scholar</t>
  </si>
  <si>
    <t>Philippe</t>
  </si>
  <si>
    <t>Cavern Elf</t>
  </si>
  <si>
    <t>Returning Descendant</t>
  </si>
  <si>
    <t>Racket = Scoundrel</t>
  </si>
  <si>
    <t>Longue carrière de voyageur, marchand, escroc, pickpocket, corsaire, esclave en fuite, etc</t>
  </si>
  <si>
    <t>Expert in Perception
Trained in Fortitude
Expert in Reflex
Expert in Will
Trained in simple weapons
Trained in the rapier, sap, shortbow, and shortsword
Trained in unarmed attacks
Trained in light armor
Trained in unarmored defense</t>
  </si>
  <si>
    <t>Otherworldly Magic (Ray of Frost)</t>
  </si>
  <si>
    <t>Elf = DEX
Elf = INT
Elf FLAW = -CON
Background = DEX
Rogue = CHA</t>
  </si>
  <si>
    <t>Pierre</t>
  </si>
  <si>
    <t>LG</t>
  </si>
  <si>
    <t>Expert in Perception
Expert in Fortitude
Expert in Reflex
Trained in Will
Expert in simple weapons
Expert in martial weapons
Trained in advanced weapons
Expert in unarmed attacks
Trained in all armor
Trained in unarmored defense</t>
  </si>
  <si>
    <t>Background = STR
Fighter = STR</t>
  </si>
  <si>
    <t>Dromaeosaur</t>
  </si>
  <si>
    <t>Osharys</t>
  </si>
  <si>
    <t>Size</t>
  </si>
  <si>
    <t>Speed</t>
  </si>
  <si>
    <t>Small</t>
  </si>
  <si>
    <t>Vision</t>
  </si>
  <si>
    <t>Medium</t>
  </si>
  <si>
    <t>25'</t>
  </si>
  <si>
    <t>30'</t>
  </si>
  <si>
    <t>20'</t>
  </si>
  <si>
    <t>Clan Dagger</t>
  </si>
  <si>
    <t>Skill Feat Level 1</t>
  </si>
  <si>
    <t>Student of the Canon</t>
  </si>
  <si>
    <t>Lie to Me</t>
  </si>
  <si>
    <t>Intimidating Glare</t>
  </si>
  <si>
    <t>Create a Diversion</t>
  </si>
  <si>
    <t>Pickpocket</t>
  </si>
  <si>
    <t>Class Feat Level 1</t>
  </si>
  <si>
    <t>Starting Feat</t>
  </si>
  <si>
    <t>Dahak</t>
  </si>
  <si>
    <t>Politics</t>
  </si>
  <si>
    <t>Dragon</t>
  </si>
  <si>
    <t>Engineering</t>
  </si>
  <si>
    <t>Druid = Nature
Order = Athetics</t>
  </si>
  <si>
    <t>Background = Deception
Lore = Politics</t>
  </si>
  <si>
    <t>Background = Religion
Lore = Dahak</t>
  </si>
  <si>
    <t>Background = Intimidation
Lore = Dragon</t>
  </si>
  <si>
    <t>Background = Thievery
Lore = Engineering</t>
  </si>
  <si>
    <t>Background = Intimidation
Lore = Warfare</t>
  </si>
  <si>
    <t>Background = Deception
Lore = Politics
Wizard = Arcana
INT+2 = Crafting
INT+2 = Diplomacy
INT+2 = Medecine
INT+2 = Performance
INT+2 = Society
INT+2 = Survival</t>
  </si>
  <si>
    <t>Background = Thievery
Lore = Engineering
Rogue = Stealth
Scoundrel = Deception
Scoundrel = Diplomacy
INT+7 = Acrobatics
INT+7 = Athletics
INT+7 = Crafting
INT+7 = Intimidation
INT+7 = Occultism
INT+7 = Performance
INT+7 = Society
INT+7 = Survival</t>
  </si>
  <si>
    <t>STR/DEX</t>
  </si>
  <si>
    <t>Class Key Ability</t>
  </si>
  <si>
    <t>Class Key Ability Score</t>
  </si>
  <si>
    <t>Razortooth Goblin</t>
  </si>
  <si>
    <t>Background = Religion
Lore = Dahak
Druid = Nature
Order = Athetics
INT+2 = Diplomacy
INT+2 = Medecine
INT+2 = Survival</t>
  </si>
  <si>
    <t>Gozreh</t>
  </si>
  <si>
    <t>Burn It !</t>
  </si>
  <si>
    <t>Skill Feat Background</t>
  </si>
  <si>
    <t>Attack of opportunity</t>
  </si>
  <si>
    <t>Sneak attack 1d6</t>
  </si>
  <si>
    <t>Surprise attack</t>
  </si>
  <si>
    <t>Racket = Feint</t>
  </si>
  <si>
    <t>Wild empathy</t>
  </si>
  <si>
    <t>Anathema</t>
  </si>
  <si>
    <t>Sarenrae</t>
  </si>
  <si>
    <t>Trained in Perception
Trained in Fortitude
Trained in Reflex
Expert in Will
Trained in simple weapons
Sreanrae = Trained in Scimitar
Trained in unarmed attacks
Trained in all armor
Trained in unarmored defense</t>
  </si>
  <si>
    <t>Scimitar</t>
  </si>
  <si>
    <t>Cleric = Religion
Deity = Medicine</t>
  </si>
  <si>
    <t>Elven Lore</t>
  </si>
  <si>
    <t>Elven Lore = Elven Lore + Arcana + Nature</t>
  </si>
  <si>
    <t>Rogue = Stealth
Scoundrel = Deception + Diplomacy</t>
  </si>
  <si>
    <t>Elven</t>
  </si>
  <si>
    <t>Background = Intimidation
Lore = Dragon
Cleric = Religion
Deity = Medicine
Elven Lore = Arcana
Elven Lore = Nature
Elven Lore = Elven Lore
INT+2 = Acrobatics
INT+2 = Diplomacy
INT+2 = Survival</t>
  </si>
  <si>
    <t>Doctrine = Cloistered Cleric</t>
  </si>
  <si>
    <t>Doctrine = Domain Initiate (Healing)</t>
  </si>
  <si>
    <t>Healer's Blessing</t>
  </si>
  <si>
    <t>INT 12 = Draconic</t>
  </si>
  <si>
    <t>Arcane school = Enchantment</t>
  </si>
  <si>
    <t>Starting feat</t>
  </si>
  <si>
    <t>Ancestry vision</t>
  </si>
  <si>
    <t>Divine font = Healing</t>
  </si>
  <si>
    <t>Druidic language</t>
  </si>
  <si>
    <t>Eddruk</t>
  </si>
  <si>
    <t>Martial Disciple</t>
  </si>
  <si>
    <t>Angradd</t>
  </si>
  <si>
    <t>Sudden Charge</t>
  </si>
  <si>
    <t>Cat Fall</t>
  </si>
  <si>
    <t>Instinct = Spirit</t>
  </si>
  <si>
    <t>Ancient-Blooded Dwarf</t>
  </si>
  <si>
    <t>Background = Acrobatics
Lore = Warfare</t>
  </si>
  <si>
    <t>Arcane thesis = Improved Familiar Attunement</t>
  </si>
  <si>
    <t>Thesis = Familiar</t>
  </si>
  <si>
    <t>Woodland Elf</t>
  </si>
  <si>
    <t>Background = Acrobatics
Lore = Warfare
Barbarian = Athletics
INT+3 = Crafting
INT+3 = Stealth
INT+3 = Survival
INT+3 = Thievery</t>
  </si>
  <si>
    <t>Dwarf = CON
Dwarf = WIS
Dwarf FLAW = -CHA
Background = STR
Barbarian = STR</t>
  </si>
  <si>
    <t>Equipment</t>
  </si>
  <si>
    <t>Rogue Kit</t>
  </si>
  <si>
    <t>Barbarian Kit</t>
  </si>
  <si>
    <t>Cleric Kit</t>
  </si>
  <si>
    <t>Druid Kit</t>
  </si>
  <si>
    <t>Wizard Kit</t>
  </si>
  <si>
    <t>Fighter Kit</t>
  </si>
  <si>
    <t>Versatile</t>
  </si>
  <si>
    <t>Versatile = Natural Ambition = Power Attack</t>
  </si>
  <si>
    <t>Iomedae</t>
  </si>
  <si>
    <t xml:space="preserve">Background = Intimidation
Lore = Warfare
Fighter = Acrobatics
INT+3 = Athletics
INT+3 = Stealth
INT+3 = Survival
</t>
  </si>
  <si>
    <t>Young</t>
  </si>
  <si>
    <t>Support</t>
  </si>
  <si>
    <t>Elf = DEX
Elf = INT
Elf FLAW = -CON
Background = CHA
Cleric = WIS</t>
  </si>
  <si>
    <t>Sanctuary</t>
  </si>
  <si>
    <t>Divine Lance</t>
  </si>
  <si>
    <t>Detect Magic</t>
  </si>
  <si>
    <t>Disrupt Undead</t>
  </si>
  <si>
    <t>Shield</t>
  </si>
  <si>
    <t>Stabilize</t>
  </si>
  <si>
    <t>Base kit</t>
  </si>
  <si>
    <t>Kit</t>
  </si>
  <si>
    <t>Armor</t>
  </si>
  <si>
    <t>Backpack</t>
  </si>
  <si>
    <t>Bedroll</t>
  </si>
  <si>
    <t>Flint and Steel</t>
  </si>
  <si>
    <t>Rope 50'</t>
  </si>
  <si>
    <t>Soap</t>
  </si>
  <si>
    <t>Waterskin</t>
  </si>
  <si>
    <t>Longspear (1d8 2H)</t>
  </si>
  <si>
    <t>Healer's Tools</t>
  </si>
  <si>
    <t>Leather Armor (+1 M4 -1/10)</t>
  </si>
  <si>
    <t>Writing set</t>
  </si>
  <si>
    <t>Material component pouch</t>
  </si>
  <si>
    <t>Staff (1d4 / 1d8 2H)</t>
  </si>
  <si>
    <t>Javelin (1d6)</t>
  </si>
  <si>
    <t>Clan Dagger (1d4)</t>
  </si>
  <si>
    <t>Hide Armor (+3 M2 -2/14)</t>
  </si>
  <si>
    <t>Dagger (1d4)</t>
  </si>
  <si>
    <t>Greataxe (1d12 2H)</t>
  </si>
  <si>
    <t>Religious symbol (wooden)</t>
  </si>
  <si>
    <t>Scimitar (1d6)</t>
  </si>
  <si>
    <t>Rapier (1d6)</t>
  </si>
  <si>
    <t>Thieves' tools</t>
  </si>
  <si>
    <t>Climbing kit</t>
  </si>
  <si>
    <t>Proficiency</t>
  </si>
  <si>
    <t>Dex</t>
  </si>
  <si>
    <t>Max Dex</t>
  </si>
  <si>
    <t>Check penalty STR limit</t>
  </si>
  <si>
    <t>Check penalty</t>
  </si>
  <si>
    <t>Potential check penalty level if low STR</t>
  </si>
  <si>
    <t>Type</t>
  </si>
  <si>
    <t>Light</t>
  </si>
  <si>
    <t>No</t>
  </si>
  <si>
    <t>AC Armor</t>
  </si>
  <si>
    <t>Traits</t>
  </si>
  <si>
    <t>Group</t>
  </si>
  <si>
    <t>Category</t>
  </si>
  <si>
    <t>Damage</t>
  </si>
  <si>
    <t>Hand</t>
  </si>
  <si>
    <t>Bulk</t>
  </si>
  <si>
    <t>Javelin</t>
  </si>
  <si>
    <t>Ability bonus</t>
  </si>
  <si>
    <t>Item</t>
  </si>
  <si>
    <t>Strike</t>
  </si>
  <si>
    <t>Range</t>
  </si>
  <si>
    <t>Simple</t>
  </si>
  <si>
    <t>Thrown</t>
  </si>
  <si>
    <t>Damage Type</t>
  </si>
  <si>
    <t>Piercing</t>
  </si>
  <si>
    <t>Reload</t>
  </si>
  <si>
    <t>L</t>
  </si>
  <si>
    <t>Dart</t>
  </si>
  <si>
    <t>Item multiplier</t>
  </si>
  <si>
    <t>d6</t>
  </si>
  <si>
    <t>Melee</t>
  </si>
  <si>
    <t>Two-Hand 1d8</t>
  </si>
  <si>
    <t>d4</t>
  </si>
  <si>
    <t>Bludgeoning</t>
  </si>
  <si>
    <t>Club</t>
  </si>
  <si>
    <t>Specific 1</t>
  </si>
  <si>
    <t>d8</t>
  </si>
  <si>
    <t>Longspear</t>
  </si>
  <si>
    <t>Crossbow</t>
  </si>
  <si>
    <t>120'</t>
  </si>
  <si>
    <t>Bow</t>
  </si>
  <si>
    <t>Jaws</t>
  </si>
  <si>
    <t>Unarmed</t>
  </si>
  <si>
    <t>Finesse</t>
  </si>
  <si>
    <t>Fist</t>
  </si>
  <si>
    <t>Brawling</t>
  </si>
  <si>
    <t>Agile</t>
  </si>
  <si>
    <t>Nonlethal</t>
  </si>
  <si>
    <t>Reach</t>
  </si>
  <si>
    <t>Spear</t>
  </si>
  <si>
    <t>-</t>
  </si>
  <si>
    <t>Greataxe</t>
  </si>
  <si>
    <t>Parry</t>
  </si>
  <si>
    <t>Versatile B</t>
  </si>
  <si>
    <t>Knife</t>
  </si>
  <si>
    <t>Martial</t>
  </si>
  <si>
    <t>Sweep</t>
  </si>
  <si>
    <t>d12</t>
  </si>
  <si>
    <t>Slashing</t>
  </si>
  <si>
    <t>Axe</t>
  </si>
  <si>
    <t>Forceful</t>
  </si>
  <si>
    <t>Sword</t>
  </si>
  <si>
    <t>Dagger</t>
  </si>
  <si>
    <t>Thrown 10'</t>
  </si>
  <si>
    <t>Versatile S</t>
  </si>
  <si>
    <t>Rapier</t>
  </si>
  <si>
    <t>Longbow</t>
  </si>
  <si>
    <t>Versatile P</t>
  </si>
  <si>
    <t>Disarm</t>
  </si>
  <si>
    <t>Deadly d8</t>
  </si>
  <si>
    <t>Deadly d10</t>
  </si>
  <si>
    <t>Volley 30'</t>
  </si>
  <si>
    <t>1+</t>
  </si>
  <si>
    <t>100'</t>
  </si>
  <si>
    <t>Acid Splash</t>
  </si>
  <si>
    <t>Electric Arc</t>
  </si>
  <si>
    <t>Guidance</t>
  </si>
  <si>
    <t>Know Direction</t>
  </si>
  <si>
    <t>Prestidigitation</t>
  </si>
  <si>
    <t>Produce Flame</t>
  </si>
  <si>
    <t>Protect Companion</t>
  </si>
  <si>
    <t>Ray of Frost</t>
  </si>
  <si>
    <t>Read Aura</t>
  </si>
  <si>
    <t>Tanglefoot</t>
  </si>
  <si>
    <t>Mending</t>
  </si>
  <si>
    <t>Chill Touch</t>
  </si>
  <si>
    <t>Daze</t>
  </si>
  <si>
    <t>Magic Weapon</t>
  </si>
  <si>
    <t>Reactive Shield</t>
  </si>
  <si>
    <t>Heal</t>
  </si>
  <si>
    <t>Goblin Pox</t>
  </si>
  <si>
    <t>A</t>
  </si>
  <si>
    <t>Innate</t>
  </si>
  <si>
    <t>Thesis = Improved Familiar Attunement</t>
  </si>
  <si>
    <t>School = Enchantment</t>
  </si>
  <si>
    <t>Forlorn</t>
  </si>
  <si>
    <t>Versatile Human</t>
  </si>
  <si>
    <t>Age of Ashes</t>
  </si>
  <si>
    <t>Reload 1</t>
  </si>
  <si>
    <t>Common</t>
  </si>
  <si>
    <t>Druidic</t>
  </si>
  <si>
    <t>INT 12 = Halfling</t>
  </si>
  <si>
    <t>INT 18 = Dwarven</t>
  </si>
  <si>
    <t>INT 18 = Sylvan</t>
  </si>
  <si>
    <t>INT 18 = Celestial</t>
  </si>
  <si>
    <t>INT 18 = Goblin</t>
  </si>
  <si>
    <t>INT 12 = Orcish</t>
  </si>
  <si>
    <t>Dwarven</t>
  </si>
  <si>
    <t>Draconic</t>
  </si>
  <si>
    <t>Language</t>
  </si>
  <si>
    <t>Platinum</t>
  </si>
  <si>
    <t>Gold</t>
  </si>
  <si>
    <t>Silver</t>
  </si>
  <si>
    <t>Cantrips known</t>
  </si>
  <si>
    <t>Spells known Level 1</t>
  </si>
  <si>
    <t>Spells known Level 2</t>
  </si>
  <si>
    <t>Spells known Level 3</t>
  </si>
  <si>
    <t>Spells known Level 4</t>
  </si>
  <si>
    <t>Spells known Level 5</t>
  </si>
  <si>
    <t>Spells known Level 6</t>
  </si>
  <si>
    <t>Spells known Level 7</t>
  </si>
  <si>
    <t>Spells known Level 8</t>
  </si>
  <si>
    <t>Spells known Level 9</t>
  </si>
  <si>
    <t>Spells per day Level 1</t>
  </si>
  <si>
    <t>Spells per day Level 2</t>
  </si>
  <si>
    <t>Spells per day Level 3</t>
  </si>
  <si>
    <t>Spells per day Level 4</t>
  </si>
  <si>
    <t>Spells per day Level 5</t>
  </si>
  <si>
    <t>Spells per day Level 6</t>
  </si>
  <si>
    <t>Spells per day Level 7</t>
  </si>
  <si>
    <t>Spells per day Level 8</t>
  </si>
  <si>
    <t>Spells per day Level 9</t>
  </si>
  <si>
    <t>Cantrips level</t>
  </si>
  <si>
    <t>Focus Points</t>
  </si>
  <si>
    <t>All</t>
  </si>
  <si>
    <t>Known</t>
  </si>
  <si>
    <t>Arcane</t>
  </si>
  <si>
    <t>Dying</t>
  </si>
  <si>
    <t>Wounded</t>
  </si>
  <si>
    <t>3+1</t>
  </si>
  <si>
    <t>Mage Armor</t>
  </si>
  <si>
    <t>Magic Missile</t>
  </si>
  <si>
    <t>Turn Undead</t>
  </si>
  <si>
    <t>Forager (T Survival)</t>
  </si>
  <si>
    <t>Battle Medic (T Medicine)</t>
  </si>
  <si>
    <t>Order Explorer (Flame)</t>
  </si>
  <si>
    <t>Fire Lung (O Flame)</t>
  </si>
  <si>
    <t>Enhanced Familiar</t>
  </si>
  <si>
    <t>Recognize Spell (T Arcana)</t>
  </si>
  <si>
    <t>Protector Tree</t>
  </si>
  <si>
    <t>Familiar (Cat)</t>
  </si>
  <si>
    <t>Befuddle</t>
  </si>
  <si>
    <t>Innate cantrip</t>
  </si>
  <si>
    <t>Copper</t>
  </si>
  <si>
    <t>Money</t>
  </si>
  <si>
    <t>Chalk</t>
  </si>
  <si>
    <t>Rations (day)</t>
  </si>
  <si>
    <t>Longbow (2H)</t>
  </si>
  <si>
    <t>Arrow (1d8)</t>
  </si>
  <si>
    <t>Bolt (1d8)</t>
  </si>
  <si>
    <t>Crossbow (2H Reload1)</t>
  </si>
  <si>
    <t>Torch</t>
  </si>
  <si>
    <t>Caltrops</t>
  </si>
  <si>
    <t>Name</t>
  </si>
  <si>
    <t>Player</t>
  </si>
  <si>
    <t>Campaign</t>
  </si>
  <si>
    <t>Level</t>
  </si>
  <si>
    <t>Deity</t>
  </si>
  <si>
    <t>Abilities</t>
  </si>
  <si>
    <t>Hit points</t>
  </si>
  <si>
    <t>Proficiencies</t>
  </si>
  <si>
    <t>Score</t>
  </si>
  <si>
    <t>Modifier</t>
  </si>
  <si>
    <t>Armor Class</t>
  </si>
  <si>
    <t>=   10   +</t>
  </si>
  <si>
    <t>+</t>
  </si>
  <si>
    <t>Saves</t>
  </si>
  <si>
    <t>FOR</t>
  </si>
  <si>
    <t>=</t>
  </si>
  <si>
    <t>WIL</t>
  </si>
  <si>
    <t>PER</t>
  </si>
  <si>
    <t>&gt;&gt;</t>
  </si>
  <si>
    <t>PP</t>
  </si>
  <si>
    <t>GP</t>
  </si>
  <si>
    <t>SP</t>
  </si>
  <si>
    <t>CP</t>
  </si>
  <si>
    <t>Encumbered</t>
  </si>
  <si>
    <t>Maximum</t>
  </si>
  <si>
    <t>= 5 +</t>
  </si>
  <si>
    <t>= 10 +</t>
  </si>
  <si>
    <t>Inv</t>
  </si>
  <si>
    <t>Languages</t>
  </si>
  <si>
    <t>Notes</t>
  </si>
  <si>
    <t>Height</t>
  </si>
  <si>
    <t>Weight</t>
  </si>
  <si>
    <t>Age</t>
  </si>
  <si>
    <t>Gender</t>
  </si>
  <si>
    <t>Hair</t>
  </si>
  <si>
    <t>Eyes</t>
  </si>
  <si>
    <t>Skin</t>
  </si>
  <si>
    <t>Abilty</t>
  </si>
  <si>
    <t>Damage Avoidance (REF)</t>
  </si>
  <si>
    <t>Talon</t>
  </si>
  <si>
    <t>Attack rolls</t>
  </si>
  <si>
    <t>REF</t>
  </si>
  <si>
    <t>1 mile</t>
  </si>
  <si>
    <t>Empathic communication</t>
  </si>
  <si>
    <t>50'</t>
  </si>
  <si>
    <t>Scent (imprecise, 30 feet)</t>
  </si>
  <si>
    <t>Senses</t>
  </si>
  <si>
    <t>Low-light vision</t>
  </si>
  <si>
    <t>AC</t>
  </si>
  <si>
    <t>Hit Points</t>
  </si>
  <si>
    <t>Actions (for 1 of Master)</t>
  </si>
  <si>
    <t>N</t>
  </si>
  <si>
    <t>Tiny</t>
  </si>
  <si>
    <t>Minion of</t>
  </si>
  <si>
    <t>Animal</t>
  </si>
  <si>
    <t>Trait</t>
  </si>
  <si>
    <t>Cat</t>
  </si>
  <si>
    <t>Race</t>
  </si>
  <si>
    <t>Familiar</t>
  </si>
  <si>
    <t>Animal Companion</t>
  </si>
  <si>
    <t>Gravlax</t>
  </si>
  <si>
    <t>Minion</t>
  </si>
  <si>
    <t>Action, Activities, Reactions and Free Action</t>
  </si>
  <si>
    <t>Strikes</t>
  </si>
  <si>
    <t>Spell Attack Roll &amp; DC</t>
  </si>
  <si>
    <t>=10+</t>
  </si>
  <si>
    <t>Spell slots per day</t>
  </si>
  <si>
    <t>Slots</t>
  </si>
  <si>
    <t>Magic Traditions</t>
  </si>
  <si>
    <t>Arcane prepared spellcasting</t>
  </si>
  <si>
    <t>Cantrips Known</t>
  </si>
  <si>
    <t>Innate Spells</t>
  </si>
  <si>
    <t>Focus Spells</t>
  </si>
  <si>
    <t>Max</t>
  </si>
  <si>
    <t>Description</t>
  </si>
  <si>
    <t>Lunge</t>
  </si>
  <si>
    <t>Spells per day Level 10</t>
  </si>
  <si>
    <t>Spells known Level 10</t>
  </si>
  <si>
    <t>1 (S) / 2 (SV)</t>
  </si>
  <si>
    <t>1 (S)</t>
  </si>
  <si>
    <t>1 creat, 30', until next turn, WIL, -1 att/dam against you</t>
  </si>
  <si>
    <t>1 (V)</t>
  </si>
  <si>
    <t>2 (SV)</t>
  </si>
  <si>
    <t>Spellcasting ability</t>
  </si>
  <si>
    <t>1 creat, Touch, FOR, sickened 1</t>
  </si>
  <si>
    <t>1(S)/2(SV)//3(MSV)</t>
  </si>
  <si>
    <t>Touch, 1 creat, 1 min, WIL to attack</t>
  </si>
  <si>
    <t>1 creat, 30', WIL, 1 hour</t>
  </si>
  <si>
    <t>1 creat, 30', WIL, 1 round, clumsy 1 &amp; stupefied 1</t>
  </si>
  <si>
    <t>1 to 3 (SV)</t>
  </si>
  <si>
    <t>1 object, 10', sustained</t>
  </si>
  <si>
    <t>30' emanation</t>
  </si>
  <si>
    <t>Gives north</t>
  </si>
  <si>
    <t>Barding</t>
  </si>
  <si>
    <t>Zabra</t>
  </si>
  <si>
    <t>Ithiel</t>
  </si>
  <si>
    <r>
      <t>Blinded</t>
    </r>
    <r>
      <rPr>
        <sz val="11"/>
        <color rgb="FF000000"/>
        <rFont val="Calibri"/>
        <family val="2"/>
      </rPr>
      <t>: You're unable to see.</t>
    </r>
  </si>
  <si>
    <r>
      <t>Clumsy</t>
    </r>
    <r>
      <rPr>
        <sz val="11"/>
        <color rgb="FF000000"/>
        <rFont val="Calibri"/>
        <family val="2"/>
      </rPr>
      <t>: You can't move as easily or gracefully as usual.</t>
    </r>
  </si>
  <si>
    <r>
      <t>Concealed</t>
    </r>
    <r>
      <rPr>
        <sz val="11"/>
        <color rgb="FF000000"/>
        <rFont val="Calibri"/>
        <family val="2"/>
      </rPr>
      <t>: Fog or similar obscuration makes you difficult to see and target.</t>
    </r>
  </si>
  <si>
    <r>
      <t>Confused</t>
    </r>
    <r>
      <rPr>
        <sz val="11"/>
        <color rgb="FF000000"/>
        <rFont val="Calibri"/>
        <family val="2"/>
      </rPr>
      <t>: You attack indiscriminately.</t>
    </r>
  </si>
  <si>
    <r>
      <t>Controlled</t>
    </r>
    <r>
      <rPr>
        <sz val="11"/>
        <color rgb="FF000000"/>
        <rFont val="Calibri"/>
        <family val="2"/>
      </rPr>
      <t>: Another creature determines your actions.</t>
    </r>
  </si>
  <si>
    <r>
      <t>Dazzled</t>
    </r>
    <r>
      <rPr>
        <sz val="11"/>
        <color rgb="FF000000"/>
        <rFont val="Calibri"/>
        <family val="2"/>
      </rPr>
      <t>: Everything is concealed to you.</t>
    </r>
  </si>
  <si>
    <r>
      <t>Deafened</t>
    </r>
    <r>
      <rPr>
        <sz val="11"/>
        <color rgb="FF000000"/>
        <rFont val="Calibri"/>
        <family val="2"/>
      </rPr>
      <t>: You're unable to hear.</t>
    </r>
  </si>
  <si>
    <r>
      <t>Doomed</t>
    </r>
    <r>
      <rPr>
        <sz val="11"/>
        <color rgb="FF000000"/>
        <rFont val="Calibri"/>
        <family val="2"/>
      </rPr>
      <t>: With your soul in peril, you are now closer to death.</t>
    </r>
  </si>
  <si>
    <r>
      <t>Drained</t>
    </r>
    <r>
      <rPr>
        <sz val="11"/>
        <color rgb="FF000000"/>
        <rFont val="Calibri"/>
        <family val="2"/>
      </rPr>
      <t>: Blood loss or something similar has leached your vitality.</t>
    </r>
  </si>
  <si>
    <r>
      <t>Encumbered</t>
    </r>
    <r>
      <rPr>
        <sz val="11"/>
        <color rgb="FF000000"/>
        <rFont val="Calibri"/>
        <family val="2"/>
      </rPr>
      <t>: You're carrying more weight than you can manage.</t>
    </r>
  </si>
  <si>
    <r>
      <t>Enfeebled</t>
    </r>
    <r>
      <rPr>
        <sz val="11"/>
        <color rgb="FF000000"/>
        <rFont val="Calibri"/>
        <family val="2"/>
      </rPr>
      <t>: Your strength has been sapped away.</t>
    </r>
  </si>
  <si>
    <r>
      <t>Fascinated</t>
    </r>
    <r>
      <rPr>
        <sz val="11"/>
        <color rgb="FF000000"/>
        <rFont val="Calibri"/>
        <family val="2"/>
      </rPr>
      <t>: You are compelled to focus your attention on something.</t>
    </r>
  </si>
  <si>
    <r>
      <t>Fatigued</t>
    </r>
    <r>
      <rPr>
        <sz val="11"/>
        <color rgb="FF000000"/>
        <rFont val="Calibri"/>
        <family val="2"/>
      </rPr>
      <t>: Your defenses are lower and you can't focus while exploring.</t>
    </r>
  </si>
  <si>
    <r>
      <t>Flat-Footed</t>
    </r>
    <r>
      <rPr>
        <sz val="11"/>
        <color rgb="FF000000"/>
        <rFont val="Calibri"/>
        <family val="2"/>
      </rPr>
      <t>: You're unable to defend yourself to your full capability.</t>
    </r>
  </si>
  <si>
    <r>
      <t>Fleeing</t>
    </r>
    <r>
      <rPr>
        <sz val="11"/>
        <color rgb="FF000000"/>
        <rFont val="Calibri"/>
        <family val="2"/>
      </rPr>
      <t>: You must run away.</t>
    </r>
  </si>
  <si>
    <r>
      <t>Frightened</t>
    </r>
    <r>
      <rPr>
        <sz val="11"/>
        <color rgb="FF000000"/>
        <rFont val="Calibri"/>
        <family val="2"/>
      </rPr>
      <t>: Fear makes you less capable of attacking and defending.</t>
    </r>
  </si>
  <si>
    <r>
      <t>Grabbed</t>
    </r>
    <r>
      <rPr>
        <sz val="11"/>
        <color rgb="FF000000"/>
        <rFont val="Calibri"/>
        <family val="2"/>
      </rPr>
      <t>: A creature, object, or magic holds you in place.</t>
    </r>
  </si>
  <si>
    <r>
      <t>Immobilized</t>
    </r>
    <r>
      <rPr>
        <sz val="11"/>
        <color rgb="FF000000"/>
        <rFont val="Calibri"/>
        <family val="2"/>
      </rPr>
      <t>: You can't move.</t>
    </r>
  </si>
  <si>
    <r>
      <t>Invisible</t>
    </r>
    <r>
      <rPr>
        <sz val="11"/>
        <color rgb="FF000000"/>
        <rFont val="Calibri"/>
        <family val="2"/>
      </rPr>
      <t>: Creatures can't see you.</t>
    </r>
  </si>
  <si>
    <r>
      <t>Paralyzed</t>
    </r>
    <r>
      <rPr>
        <sz val="11"/>
        <color rgb="FF000000"/>
        <rFont val="Calibri"/>
        <family val="2"/>
      </rPr>
      <t>: Your body is frozen in place.</t>
    </r>
  </si>
  <si>
    <r>
      <t>Persistent Damage</t>
    </r>
    <r>
      <rPr>
        <sz val="11"/>
        <color rgb="FF000000"/>
        <rFont val="Calibri"/>
        <family val="2"/>
      </rPr>
      <t>: You keep taking damage every round.</t>
    </r>
  </si>
  <si>
    <r>
      <t>Petrified</t>
    </r>
    <r>
      <rPr>
        <sz val="11"/>
        <color rgb="FF000000"/>
        <rFont val="Calibri"/>
        <family val="2"/>
      </rPr>
      <t>: You've been turned to stone.</t>
    </r>
  </si>
  <si>
    <r>
      <t>Prone</t>
    </r>
    <r>
      <rPr>
        <sz val="11"/>
        <color rgb="FF000000"/>
        <rFont val="Calibri"/>
        <family val="2"/>
      </rPr>
      <t>: You're lying on the ground and easier to attack.</t>
    </r>
  </si>
  <si>
    <r>
      <t>Quickened</t>
    </r>
    <r>
      <rPr>
        <sz val="11"/>
        <color rgb="FF000000"/>
        <rFont val="Calibri"/>
        <family val="2"/>
      </rPr>
      <t>: You get an extra action each turn.</t>
    </r>
  </si>
  <si>
    <r>
      <t>Restrained</t>
    </r>
    <r>
      <rPr>
        <sz val="11"/>
        <color rgb="FF000000"/>
        <rFont val="Calibri"/>
        <family val="2"/>
      </rPr>
      <t>: You're tied up and can't move, or a grappling creature has you pinned.</t>
    </r>
  </si>
  <si>
    <r>
      <t>Sickened</t>
    </r>
    <r>
      <rPr>
        <sz val="11"/>
        <color rgb="FF000000"/>
        <rFont val="Calibri"/>
        <family val="2"/>
      </rPr>
      <t>: You're sick to your stomach.</t>
    </r>
  </si>
  <si>
    <r>
      <t>Slowed</t>
    </r>
    <r>
      <rPr>
        <sz val="11"/>
        <color rgb="FF000000"/>
        <rFont val="Calibri"/>
        <family val="2"/>
      </rPr>
      <t>: You lose actions each turn.</t>
    </r>
  </si>
  <si>
    <r>
      <t>Stunned</t>
    </r>
    <r>
      <rPr>
        <sz val="11"/>
        <color rgb="FF000000"/>
        <rFont val="Calibri"/>
        <family val="2"/>
      </rPr>
      <t>: You can't use actions.</t>
    </r>
  </si>
  <si>
    <r>
      <t>Stupefied</t>
    </r>
    <r>
      <rPr>
        <sz val="11"/>
        <color rgb="FF000000"/>
        <rFont val="Calibri"/>
        <family val="2"/>
      </rPr>
      <t>: You can't access your full mental faculties, and you have trouble casting spells.</t>
    </r>
  </si>
  <si>
    <r>
      <t>Unconscious</t>
    </r>
    <r>
      <rPr>
        <sz val="11"/>
        <color rgb="FF000000"/>
        <rFont val="Calibri"/>
        <family val="2"/>
      </rPr>
      <t>: You're asleep or knocked out.</t>
    </r>
  </si>
  <si>
    <t>Blinded</t>
  </si>
  <si>
    <t>Clumsy</t>
  </si>
  <si>
    <t>Concealed</t>
  </si>
  <si>
    <t>Confused</t>
  </si>
  <si>
    <t>Controlled</t>
  </si>
  <si>
    <t>Dazzled</t>
  </si>
  <si>
    <t>Deafened</t>
  </si>
  <si>
    <t>Doomed</t>
  </si>
  <si>
    <t>Drained</t>
  </si>
  <si>
    <t>Enfeebled</t>
  </si>
  <si>
    <t>Fascinated</t>
  </si>
  <si>
    <t>Fatigued</t>
  </si>
  <si>
    <t>Flat-Footed</t>
  </si>
  <si>
    <t>Fleeing</t>
  </si>
  <si>
    <t>Frightened</t>
  </si>
  <si>
    <t>Grabbed</t>
  </si>
  <si>
    <t>Immobilized</t>
  </si>
  <si>
    <t>Invisible</t>
  </si>
  <si>
    <t>Paralyzed</t>
  </si>
  <si>
    <t>Persistent Damage</t>
  </si>
  <si>
    <t>Petrified</t>
  </si>
  <si>
    <t>Prone</t>
  </si>
  <si>
    <t>Quickened</t>
  </si>
  <si>
    <t>Restrained</t>
  </si>
  <si>
    <t>Sickened</t>
  </si>
  <si>
    <t>Slowed</t>
  </si>
  <si>
    <t>Stunned</t>
  </si>
  <si>
    <t>Stupefied</t>
  </si>
  <si>
    <t>Unconscious</t>
  </si>
  <si>
    <t>Condition</t>
  </si>
  <si>
    <t>Steel shield (+2 H5 hp20)</t>
  </si>
  <si>
    <t>Dex or Cap</t>
  </si>
  <si>
    <t>Origin Vision</t>
  </si>
  <si>
    <t>Darkvision</t>
  </si>
  <si>
    <t>Normal Vision</t>
  </si>
  <si>
    <t>Initiative</t>
  </si>
  <si>
    <t>Carrying base</t>
  </si>
  <si>
    <t>Carrying bonus</t>
  </si>
  <si>
    <t>Whip</t>
  </si>
  <si>
    <t>Flail</t>
  </si>
  <si>
    <t>Trip</t>
  </si>
  <si>
    <t>Whip (1d4)</t>
  </si>
  <si>
    <t xml:space="preserve">  </t>
  </si>
  <si>
    <t>Mirror</t>
  </si>
  <si>
    <t>Antidote (lesser)</t>
  </si>
  <si>
    <t>Patrick</t>
  </si>
  <si>
    <t>Belica</t>
  </si>
  <si>
    <t>Bard</t>
  </si>
  <si>
    <t>Half-Orc</t>
  </si>
  <si>
    <t>F</t>
  </si>
  <si>
    <t>Occult</t>
  </si>
  <si>
    <t>Longsword, rapier, sap, shortbow, shortsword &amp; whip</t>
  </si>
  <si>
    <t>Bard = Occultism + Performance</t>
  </si>
  <si>
    <t>Counter Performance</t>
  </si>
  <si>
    <t>R (S or V)</t>
  </si>
  <si>
    <t>You &amp; allies 60', auditory/visual, perf check if better than save</t>
  </si>
  <si>
    <t>Occult spontaneous spellcasting</t>
  </si>
  <si>
    <t>Expert in Perception
Trained in Fortitude
Trained in Reflex
Expert in Will
Trained in simple weapons
Trained in the longsword, rapier, sap, shortbow, shortsword, and whip
Trained in unarmed attacks
Trained in light armor
Trained in unarmored defense</t>
  </si>
  <si>
    <t>Bard Kit</t>
  </si>
  <si>
    <t>Sling</t>
  </si>
  <si>
    <t>Artist</t>
  </si>
  <si>
    <t>Background = Crafting
Lore = Art</t>
  </si>
  <si>
    <t>Specialty Crafting (Bookmaking)</t>
  </si>
  <si>
    <t>Orc Weapon Familiarity</t>
  </si>
  <si>
    <t>Background = Crafting
Lore = Art
Bard = Occult
Bard = Performance
INT+1 = Athletics
INT+1 = Diplomacy
INT+1 = Intimidation
INT+1 = Medecine
INT+1 = Society</t>
  </si>
  <si>
    <t>LN</t>
  </si>
  <si>
    <t>Abadar</t>
  </si>
  <si>
    <t>Muse =Enigma</t>
  </si>
  <si>
    <t>Muse = Bardic Lore</t>
  </si>
  <si>
    <t>Muse = True Strike</t>
  </si>
  <si>
    <t>Bullet (1d6)</t>
  </si>
  <si>
    <t>Sling (Reload 1)</t>
  </si>
  <si>
    <t>Musical Instrument (2H)</t>
  </si>
  <si>
    <t>Propulsive</t>
  </si>
  <si>
    <t>H</t>
  </si>
  <si>
    <t>Falchion, greataxe, orc martial</t>
  </si>
  <si>
    <t>Specific 2</t>
  </si>
  <si>
    <t>Loremaster's Etude</t>
  </si>
  <si>
    <t>R (S)</t>
  </si>
  <si>
    <t>You or ally 30', Recall Knowledge, best of two rolls</t>
  </si>
  <si>
    <t>Art</t>
  </si>
  <si>
    <t>Telekinetic Projectile</t>
  </si>
  <si>
    <t>10m (SV)</t>
  </si>
  <si>
    <t>1m (SV)</t>
  </si>
  <si>
    <t>1 object, 30'</t>
  </si>
  <si>
    <t>+ 5HP/spell level</t>
  </si>
  <si>
    <t>You, until next turn, best on 2 rolls</t>
  </si>
  <si>
    <t>Expert in Deception</t>
  </si>
  <si>
    <t>Cat Fall (T Acrobatics)</t>
  </si>
  <si>
    <t>Distracting Feint</t>
  </si>
  <si>
    <t>Lenghty Diversion</t>
  </si>
  <si>
    <t>Shove</t>
  </si>
  <si>
    <t>Silver Light Mace (1d4)</t>
  </si>
  <si>
    <t>Hefty Hauler (T Athlectics)</t>
  </si>
  <si>
    <t>Quick Repair (T Crafting)</t>
  </si>
  <si>
    <t>Mage Hand</t>
  </si>
  <si>
    <t>1 object, 30', sustained, LB, 20'</t>
  </si>
  <si>
    <t>Silver Longsword</t>
  </si>
  <si>
    <t>Silver Light Mace</t>
  </si>
  <si>
    <t>Signature Spells</t>
  </si>
  <si>
    <t>2nd level spells</t>
  </si>
  <si>
    <t>Spell Repertoire</t>
  </si>
  <si>
    <t>Muse = Enigma</t>
  </si>
  <si>
    <t>CI,3</t>
  </si>
  <si>
    <t>1 creat, 30', d10+4HP, 1 min, +2 save mental</t>
  </si>
  <si>
    <t>Alertness (Expert PER)</t>
  </si>
  <si>
    <t>Great Fortitude (Expert FOR)</t>
  </si>
  <si>
    <t>Bravery (Expert WIL)</t>
  </si>
  <si>
    <t>Deny Advantage</t>
  </si>
  <si>
    <t>Divine prepared spellcasting</t>
  </si>
  <si>
    <t>Primal prepared spellcasting</t>
  </si>
  <si>
    <t>Prescient Planner</t>
  </si>
  <si>
    <t>Expert in Diplomacy</t>
  </si>
  <si>
    <t>Bon Mot (T Diplomacy)</t>
  </si>
  <si>
    <t>Spell Delivery</t>
  </si>
  <si>
    <t>Fast Movement (40')</t>
  </si>
  <si>
    <t>Low-light vision, Scent</t>
  </si>
  <si>
    <t>Lightning Reflexes (Expert REF)</t>
  </si>
  <si>
    <t>Second Doctrine (Expert FOR)</t>
  </si>
  <si>
    <t>Hand of the Mage</t>
  </si>
  <si>
    <t>Silver Flail (1d6)</t>
  </si>
  <si>
    <t>Silver Morning Star</t>
  </si>
  <si>
    <t>Silver Light Hammer</t>
  </si>
  <si>
    <t>Silver Longsword (1d8)</t>
  </si>
  <si>
    <t>Hammer</t>
  </si>
  <si>
    <t>Thrown 20'</t>
  </si>
  <si>
    <t>Silver Light Hammer (1d6)</t>
  </si>
  <si>
    <t>Lesser Darkvision Elixir</t>
  </si>
  <si>
    <t>Jade Cat</t>
  </si>
  <si>
    <t>Cheetah's Elixir</t>
  </si>
  <si>
    <t>Potency Crystal</t>
  </si>
  <si>
    <t>Wolf Fang Talisman</t>
  </si>
  <si>
    <t>Lesser Bottled Lightning</t>
  </si>
  <si>
    <t>Tanglefoot Bag</t>
  </si>
  <si>
    <t>Expert in Medicine</t>
  </si>
  <si>
    <t>Desert Elf</t>
  </si>
  <si>
    <t>Robust Recovery (E Medicine)</t>
  </si>
  <si>
    <t>Wondrous Figurine (Onyx Dog)</t>
  </si>
  <si>
    <t>Invisibility Potion</t>
  </si>
  <si>
    <t>Infectious Enthusiasm</t>
  </si>
  <si>
    <t>Scatter Scree</t>
  </si>
  <si>
    <t>Endure</t>
  </si>
  <si>
    <t>Mud Pit</t>
  </si>
  <si>
    <t>Sleep</t>
  </si>
  <si>
    <t>Shockwave</t>
  </si>
  <si>
    <t>Spectral Hand</t>
  </si>
  <si>
    <t xml:space="preserve">Blood Vendetta </t>
  </si>
  <si>
    <t>Day, +1 AC, max Dex +5, unarmored</t>
  </si>
  <si>
    <t>1 to 3, d4+1 each</t>
  </si>
  <si>
    <t>R (V)</t>
  </si>
  <si>
    <t>120', 1 min</t>
  </si>
  <si>
    <t>15' cone, REF, prone</t>
  </si>
  <si>
    <t>60', 15' burst, 1 min, difficult terrain</t>
  </si>
  <si>
    <t>Triggering creat, 30', WIL, 2d6 persist bleed</t>
  </si>
  <si>
    <t>1 creat, Touch, WIL, 1d8/creat. damaged</t>
  </si>
  <si>
    <t>Expert in Nature</t>
  </si>
  <si>
    <t>Faerie Fire</t>
  </si>
  <si>
    <t>120', 10' burst, 5 min</t>
  </si>
  <si>
    <t>Expert in Crafting</t>
  </si>
  <si>
    <t>1 creat//30', Touch/30', 2d8/2d8+16//2d8</t>
  </si>
  <si>
    <t>1 creat//30', Touch/30', d8/d8+8//d8"</t>
  </si>
  <si>
    <t>1 dying creat, 30', end of dying, 0 HP</t>
  </si>
  <si>
    <t>Fleet</t>
  </si>
  <si>
    <t>Base</t>
  </si>
  <si>
    <t>Cantrip</t>
  </si>
  <si>
    <t>Focus 1</t>
  </si>
  <si>
    <t>1/day, 2 (SV)</t>
  </si>
  <si>
    <t>Expert in Performance</t>
  </si>
  <si>
    <t>Canny Acumen (Expert FOR)</t>
  </si>
  <si>
    <t>CI,F</t>
  </si>
  <si>
    <t>1 creat, 30', 2d10+8HP, 1 min, +2 save mental</t>
  </si>
  <si>
    <t>Sound Burst</t>
  </si>
  <si>
    <t>10' burst, 30', FOR, 2d10 sonic + deafened</t>
  </si>
  <si>
    <t>1 creat, Touch, 1 rd, 5 temp HP</t>
  </si>
  <si>
    <t>Expert in Athletics</t>
  </si>
  <si>
    <t>Diehard</t>
  </si>
  <si>
    <t>Natural Ambition = Power Attack</t>
  </si>
  <si>
    <t>Versatile = Cat Fall (T Acrobatics)</t>
  </si>
  <si>
    <t>Silver Morningstar (1d6)</t>
  </si>
  <si>
    <t>Base strike</t>
  </si>
  <si>
    <t>Multiattack penalty</t>
  </si>
  <si>
    <t>Reactions</t>
  </si>
  <si>
    <t>Target would take damage</t>
  </si>
  <si>
    <t>Emperor Bird Feather (large)</t>
  </si>
  <si>
    <t>Emperor Bird Feather (small)/Continual Flame</t>
  </si>
  <si>
    <t>Continual Flame</t>
  </si>
  <si>
    <t>3 (SVM)</t>
  </si>
  <si>
    <t>1 object, touch, unlimited</t>
  </si>
  <si>
    <t>15' cone, Basic REF, 4d6 fire damage</t>
  </si>
  <si>
    <t>Recognize Spell</t>
  </si>
  <si>
    <t>Call on Ancient Blood</t>
  </si>
  <si>
    <t>Attack of Opportunity</t>
  </si>
  <si>
    <t>You would take damage from physical att</t>
  </si>
  <si>
    <t>- Hardness, you and shield each take remaining damage</t>
  </si>
  <si>
    <t>You are hit by melee Strike</t>
  </si>
  <si>
    <t>Raise sheild</t>
  </si>
  <si>
    <t>[Wielding shield]</t>
  </si>
  <si>
    <t>[Shield raised]</t>
  </si>
  <si>
    <t>+1 circumstance bonus until the end of this turn</t>
  </si>
  <si>
    <t>- 10 damage, you lose HP</t>
  </si>
  <si>
    <t>[Protect Companion is active]</t>
  </si>
  <si>
    <t>Life Block</t>
  </si>
  <si>
    <t>Within line of sight</t>
  </si>
  <si>
    <t>Roll to recognize</t>
  </si>
  <si>
    <t>Holly and Mistletoe</t>
  </si>
  <si>
    <t>Grappling Hook</t>
  </si>
  <si>
    <t>Touch, 1 min, +1 strike, 2 damage dice</t>
  </si>
  <si>
    <t>Margin</t>
  </si>
  <si>
    <t>Status</t>
  </si>
  <si>
    <t>Stowed</t>
  </si>
  <si>
    <t>Worn</t>
  </si>
  <si>
    <t>Held</t>
  </si>
  <si>
    <t>Amount</t>
  </si>
  <si>
    <t>Location</t>
  </si>
  <si>
    <t>Unit Bulk</t>
  </si>
  <si>
    <t>Total Stowed Bulk</t>
  </si>
  <si>
    <t>Oil of Potency</t>
  </si>
  <si>
    <t>Personal History</t>
  </si>
  <si>
    <t>The following acts are anathema to all druids:
&gt; Using metal armor or shields.
&gt; Despoiling natural places.
&gt; Teaching the Druidic language to non-druids.
Committing wanton cruelty to animals or killing animals unnecessarily is anathema to your order.
Allowing unnatural fires to spread or preventing natural fires from occurring in a way that harms the environment are anathema to your order</t>
  </si>
  <si>
    <t>Disrespecting corpses or spirits is anathema to your instinct</t>
  </si>
  <si>
    <t>Acts fundamentally opposed to your deity's alignment or ideals are anathema to your faith. Learning or casting spells, committing acts, and using items that are anathema to your deity remove you from your deity's good graces.
Casting spells with the evil trait is almost always anathema to good deities.
Creating undead, lying, denying a repentant creature an opportunity for redemption, failing to strike down evil are anathema to clerics of Sarenrae.</t>
  </si>
  <si>
    <t>Tip est un goblin promis à un grand avenir. Les autres goblins l'ont toujours su. Suffi de regarder ses dents elles sont super grandes. Un jour alors qu'il gambadé dans la forêt Tip à rencontrer Top une créature promise à un grand avenir aussi. La preuve il a des dents encore plus grandes que celle de Tip. Après un concours acharné de gobage de raton-laveur, une amitié durable s'installa entre les deux. En revenant au village goblin avec Top, Tip obtenu le respect du druide du village qui le pris comme apprenti.
Seulement voila, Tip a depuis longtemps des visions d'un grand feu. Tip est convaincu qu'il s'agit là d'une prophétie au sujet de leur grand avenir. Il a donc étudié la question de long en large et aujourd'hui c'est l'heure de sauvé les animaux en danger a cause du grand feu. Car un animal qui meurt sans raison c'est super mal. Cela rompt l'équilibre de la nature et après les goblins et les Tops, ils n'ont plus rien à manger.
Et puis surtout grand feu c'est encore mieux que grandes dents....</t>
  </si>
  <si>
    <t>Back</t>
  </si>
  <si>
    <t>Total non stowed Bulk</t>
  </si>
  <si>
    <t>Second Wind</t>
  </si>
  <si>
    <t>Quick Jump (T Athletics)</t>
  </si>
  <si>
    <t>Martin</t>
  </si>
  <si>
    <t>Gartuk</t>
  </si>
  <si>
    <t>Cook</t>
  </si>
  <si>
    <t>CG</t>
  </si>
  <si>
    <t>Seasoned</t>
  </si>
  <si>
    <t>Goblin Scuttle</t>
  </si>
  <si>
    <t>Background = CON
Rogue = DEX</t>
  </si>
  <si>
    <t>Racket = Thief</t>
  </si>
  <si>
    <t>Racket = DEX dmg on finesse</t>
  </si>
  <si>
    <t>Cooking</t>
  </si>
  <si>
    <t>Garuk</t>
  </si>
  <si>
    <t>Rogue = Stealth
Thief = Thievery</t>
  </si>
  <si>
    <t>Background = Survival
Lore = Cooking</t>
  </si>
  <si>
    <t>You step</t>
  </si>
  <si>
    <t>Alchemist's Tools</t>
  </si>
  <si>
    <t>INT 14 = Gnomish</t>
  </si>
  <si>
    <t>INT 14 = Orcish</t>
  </si>
  <si>
    <t>Background = Survival
Lore = Cooking
Rogue = Stealth
Thief = Thievery
INT+7 = Acrobatics
INT+7 = Athletics
INT+7 = Crafting
INT+7 = Deception
INT+7 = Diplomacy
INT+7 = Intimidation
INT+7 = Medicine
INT+7 = Nature
INT+7 = Society</t>
  </si>
  <si>
    <t>Desna</t>
  </si>
  <si>
    <t>Subtle Theft (T Thievery)</t>
  </si>
  <si>
    <t>Gartuk est le suprême chef cuisinier de sa tribu, les Couteaux Tranchants. Dans la cuisine, il utilise des techniques non-conventionelles qu'il a inventé lui même comme le flambé au vinaigre d'alcool goblin. Sur le champ de bataille, il utilise ses couteaux de cuisine à la mêlée ou à portée. Il rêve de devenir un grand chef étoilé du guide Pti Chemin (entreprise qui fabrique des roues de charette). Gartuk trouve que les autres goblins font des choix alimentaires répugnants. C'est pour cela qu'il doit voler des ingrédients de qualité aux humains pour lui même.</t>
  </si>
  <si>
    <t>[Not encumbered]</t>
  </si>
  <si>
    <t>Creature targets you and you can see attacker</t>
  </si>
  <si>
    <t>An ally ends a move action adjacent to you</t>
  </si>
  <si>
    <t>+2 circ. to AC against att</t>
  </si>
  <si>
    <t>Order = Animal/Fire</t>
  </si>
  <si>
    <t>Quick Draw</t>
  </si>
  <si>
    <t>Thieves' Tools (Replacement Picks)</t>
  </si>
  <si>
    <t>Scroll of Darkness (L2)</t>
  </si>
  <si>
    <t>Scroll of Darkvision (L2)</t>
  </si>
  <si>
    <t>Scroll of Heal (L2)</t>
  </si>
  <si>
    <t>Scroll of Magic Misile (L2)</t>
  </si>
  <si>
    <t>Wand of Heal (L1)</t>
  </si>
  <si>
    <t>Mature Animal Companion</t>
  </si>
  <si>
    <t>Additional Lore (Dahak/Goblin)</t>
  </si>
  <si>
    <t>B, F4</t>
  </si>
  <si>
    <t>Mature Familiar</t>
  </si>
  <si>
    <t>Create Food</t>
  </si>
  <si>
    <t>1 hour (SV)</t>
  </si>
  <si>
    <t>6 Medium creat, 1 day</t>
  </si>
  <si>
    <t>Category &amp; Traits</t>
  </si>
  <si>
    <t>Enhance Victuals</t>
  </si>
  <si>
    <t>1 minute (MSV)</t>
  </si>
  <si>
    <t>Touch, 1 gallon water or 5 lbs of food</t>
  </si>
  <si>
    <t>School Level 2</t>
  </si>
  <si>
    <t>School Level 1</t>
  </si>
  <si>
    <t>Charm</t>
  </si>
  <si>
    <t>Warrior's Regret</t>
  </si>
  <si>
    <t>Sarenrae Level 2</t>
  </si>
  <si>
    <t>Burning Hands</t>
  </si>
  <si>
    <t>Signature Level 1</t>
  </si>
  <si>
    <t>Signature Level 2</t>
  </si>
  <si>
    <t>Soothe</t>
  </si>
  <si>
    <t>False Life</t>
  </si>
  <si>
    <t>Muse Level 1</t>
  </si>
  <si>
    <t>True Strike</t>
  </si>
  <si>
    <t>[Signature Level 2]</t>
  </si>
  <si>
    <t>Holy Castigation</t>
  </si>
  <si>
    <t>Continual Recovery (E Medicine)</t>
  </si>
  <si>
    <t>Triple Time</t>
  </si>
  <si>
    <t>Courtly Graces (T Society)</t>
  </si>
  <si>
    <t>C1</t>
  </si>
  <si>
    <t>I1, C3</t>
  </si>
  <si>
    <t>C1+3</t>
  </si>
  <si>
    <t>B, C3</t>
  </si>
  <si>
    <t>C1+2</t>
  </si>
  <si>
    <t>I1, C2</t>
  </si>
  <si>
    <t>Conceal Spell</t>
  </si>
  <si>
    <t>Distracting Performance</t>
  </si>
  <si>
    <t>Deafness</t>
  </si>
  <si>
    <t>Mirror Image</t>
  </si>
  <si>
    <t>You or familiar, 1 min, 3 images</t>
  </si>
  <si>
    <t>30', 1 creat, FOR, deaf 1 rd</t>
  </si>
  <si>
    <t>Expert in Acrobatics</t>
  </si>
  <si>
    <t>Mobility</t>
  </si>
  <si>
    <t>Lie to Me (T Deception)</t>
  </si>
  <si>
    <t>I1, C4</t>
  </si>
  <si>
    <t>Feather Step</t>
  </si>
  <si>
    <t>Assurance (T Acrobatics)</t>
  </si>
  <si>
    <t>Dagger (Thrown)</t>
  </si>
  <si>
    <t>10'</t>
  </si>
  <si>
    <t xml:space="preserve"> </t>
  </si>
  <si>
    <t>Hero Points</t>
  </si>
  <si>
    <t>Présent</t>
  </si>
  <si>
    <t>Underwater Marauder (T Athletics)</t>
  </si>
  <si>
    <t>Swipe</t>
  </si>
  <si>
    <t>Composition Cantrip</t>
  </si>
  <si>
    <t>Inspire Courage</t>
  </si>
  <si>
    <t>60' éman, 1 rd; you+ allies, +1 att/dmg/saves vs fear</t>
  </si>
  <si>
    <t>1 creat, 30', until next turn, +1 [att/PER/save or skill]</t>
  </si>
  <si>
    <t>C1+4</t>
  </si>
  <si>
    <t>Expert in Stealth</t>
  </si>
  <si>
    <t>Additionnal Lore = Goblin Lore (Expert)</t>
  </si>
  <si>
    <t>Quiet Allies</t>
  </si>
  <si>
    <t>Strong Arm</t>
  </si>
  <si>
    <t>Dwarven Weapon Familiarity</t>
  </si>
  <si>
    <t>Barreling Charge</t>
  </si>
  <si>
    <t>Left today</t>
  </si>
  <si>
    <t>Slots left Level 1</t>
  </si>
  <si>
    <t>Slots left Level 2</t>
  </si>
  <si>
    <t>Slots left Level 3</t>
  </si>
  <si>
    <t>Slots left Level 4</t>
  </si>
  <si>
    <t>Slots left Level 5</t>
  </si>
  <si>
    <t>Slots left Level 6</t>
  </si>
  <si>
    <t>Slots left Level 7</t>
  </si>
  <si>
    <t>Slots left Level 8</t>
  </si>
  <si>
    <t>Slots left Level 9</t>
  </si>
  <si>
    <t>Slots left Level 10</t>
  </si>
  <si>
    <t>Powerful Leap</t>
  </si>
  <si>
    <t>Feet</t>
  </si>
  <si>
    <t>Clan dagger, dwarven war axe</t>
  </si>
  <si>
    <t>+1 Staff</t>
  </si>
  <si>
    <t>+1 Staff (2H)</t>
  </si>
  <si>
    <t>Monkey Pin</t>
  </si>
  <si>
    <t>Lesser Healing Potion</t>
  </si>
  <si>
    <t>Scroll of Acid Arrow (L2)</t>
  </si>
  <si>
    <t>Scroll of False Life (L2)</t>
  </si>
  <si>
    <t>Scroll of Obscuring Mist (L2)</t>
  </si>
  <si>
    <t>Scroll of Touch of Idiocy (L2)</t>
  </si>
  <si>
    <t>+1 Staff (1d4 / 1d8 2H)</t>
  </si>
  <si>
    <t>+1 Leather Armor (+2 M4 -1/10)</t>
  </si>
  <si>
    <t>d10</t>
  </si>
  <si>
    <t>Minor Healing Potion</t>
  </si>
  <si>
    <t>Bracers of Missile Deflection</t>
  </si>
  <si>
    <t>+1 Greatsword</t>
  </si>
  <si>
    <t>+1 Halberd</t>
  </si>
  <si>
    <t>Dwarven War Axe (1d8 / 1d12 2H)</t>
  </si>
  <si>
    <t>Dwarven War Axe</t>
  </si>
  <si>
    <t>Two-Hand 1d12</t>
  </si>
  <si>
    <t>Uncommon</t>
  </si>
  <si>
    <t>Dwarven War Axe (2H)</t>
  </si>
  <si>
    <t>Polearm</t>
  </si>
  <si>
    <t>+1 Striking Rapier (2d6)</t>
  </si>
  <si>
    <t>+1 Dagger (1d4)</t>
  </si>
  <si>
    <t>+1 Striking Rapier</t>
  </si>
  <si>
    <t>+1 Dagger</t>
  </si>
  <si>
    <t>Feather Step Stone</t>
  </si>
  <si>
    <t>Everburning Torch</t>
  </si>
  <si>
    <t>+1 Morningstar</t>
  </si>
  <si>
    <t>Doubling Rings</t>
  </si>
  <si>
    <t>Beer cap</t>
  </si>
  <si>
    <t>3rd level spells</t>
  </si>
  <si>
    <t>CI,5</t>
  </si>
  <si>
    <t>Cantrips per day</t>
  </si>
  <si>
    <t>Learned today</t>
  </si>
  <si>
    <t>2+1</t>
  </si>
  <si>
    <t>5+1</t>
  </si>
  <si>
    <t>Brutality</t>
  </si>
  <si>
    <t>C1,5</t>
  </si>
  <si>
    <t>Critical specialization effect</t>
  </si>
  <si>
    <t>Sneak attack 2d6</t>
  </si>
  <si>
    <t>Weapon tricks</t>
  </si>
  <si>
    <t>Fighter Weapon Mastery</t>
  </si>
  <si>
    <t>[Master in that weapon/unarmed attack]</t>
  </si>
  <si>
    <t>Critical success on Strike</t>
  </si>
  <si>
    <t>Strike, disrupt on critical success</t>
  </si>
  <si>
    <t>[Agile/Finesse simple or specific weapon]</t>
  </si>
  <si>
    <t>Critical success on Strike vs flat-footed creature</t>
  </si>
  <si>
    <t>3+S</t>
  </si>
  <si>
    <t>10+S</t>
  </si>
  <si>
    <t>7+S</t>
  </si>
  <si>
    <t>C5,I5</t>
  </si>
  <si>
    <t>Goblin Song</t>
  </si>
  <si>
    <t>Fireball</t>
  </si>
  <si>
    <t>500', 20' burst, basic REF, 6d6+1 fire dmg</t>
  </si>
  <si>
    <t>Elf Instincts</t>
  </si>
  <si>
    <t>Expert in Medecine</t>
  </si>
  <si>
    <t>Mind of Menace</t>
  </si>
  <si>
    <t>Paralyze</t>
  </si>
  <si>
    <t xml:space="preserve">1 creat, 30', WIL, Stunned 1 </t>
  </si>
  <si>
    <t>School Level 3</t>
  </si>
  <si>
    <t>Fight with Fear</t>
  </si>
  <si>
    <t>WIL, creature frigtened 2, +2 save vs initial effect</t>
  </si>
  <si>
    <t>[Must see creature]</t>
  </si>
  <si>
    <t>A creature uses a mental effect against you</t>
  </si>
  <si>
    <t>School Cantrip</t>
  </si>
  <si>
    <t>I1, C5</t>
  </si>
  <si>
    <t>I1,C5</t>
  </si>
  <si>
    <t>C5</t>
  </si>
  <si>
    <t>Ancestral Longevity</t>
  </si>
  <si>
    <t>Dwarven Weapon Cunning</t>
  </si>
  <si>
    <t>B,C5</t>
  </si>
  <si>
    <t>Creature manipulates, move, used ranged or leave</t>
  </si>
  <si>
    <t>Critical hit with melee weapons/unarmed attacks</t>
  </si>
  <si>
    <t>[While raging}</t>
  </si>
  <si>
    <t>Ageless Patience</t>
  </si>
  <si>
    <t>Zabrarallongex</t>
  </si>
  <si>
    <t>24 hours, Fight with Fear reaction</t>
  </si>
  <si>
    <t>[Not prepared]</t>
  </si>
  <si>
    <t>10min (MSV) &gt; R</t>
  </si>
  <si>
    <t>1 rd, +1 att, WIL or Cha skills + ally within 30'</t>
  </si>
  <si>
    <t>3 (MSV)</t>
  </si>
  <si>
    <t>30', 5' burst, WIL, unconscious 1min</t>
  </si>
  <si>
    <t>You would roll save against magical effect</t>
  </si>
  <si>
    <t>Expert in Society</t>
  </si>
  <si>
    <t>Orc Weapon Carnage</t>
  </si>
  <si>
    <t>Haste</t>
  </si>
  <si>
    <t>[Battle axe/pick/warhammer/dwarf weapon]</t>
  </si>
  <si>
    <t>[Falchion/greataxe/orc weapon]</t>
  </si>
  <si>
    <t>[In reach]</t>
  </si>
  <si>
    <t>[Signature Level 3]</t>
  </si>
  <si>
    <t>1 creat, 30', 3d10+12HP, 1 min, +2 save mental</t>
  </si>
  <si>
    <t>1 creat, 30', quickened (+1 Stride/Strike), 1 min</t>
  </si>
  <si>
    <t>Vampiric Touch</t>
  </si>
  <si>
    <t>Signature Level 3</t>
  </si>
  <si>
    <t>1 living, touch, 6d6 neg dmg, half temp HP 1min</t>
  </si>
  <si>
    <t>3+M</t>
  </si>
  <si>
    <t>2+2S</t>
  </si>
  <si>
    <t>Spiritual Weapon</t>
  </si>
  <si>
    <t>Blidness</t>
  </si>
  <si>
    <t>Searing Light</t>
  </si>
  <si>
    <t>Restoration</t>
  </si>
  <si>
    <t>1 creat, 120', sp att, 5d6 (+5d6 fiend/undead)</t>
  </si>
  <si>
    <t>1 creat, 30', FOR, blinded until beg. creat's turn</t>
  </si>
  <si>
    <t>1 creat, touch, condition or toxin</t>
  </si>
  <si>
    <t>Fighter weapon mastery (Sword)</t>
  </si>
  <si>
    <t>Simple/Martial swords</t>
  </si>
  <si>
    <t>Advanced swords</t>
  </si>
  <si>
    <t>Club, crossbow, dagger, heavy crossbow &amp; staff</t>
  </si>
  <si>
    <t>General Training = Feather Step</t>
  </si>
  <si>
    <t>Powerful Leap (E Athletics)</t>
  </si>
  <si>
    <t>Ankle Bite</t>
  </si>
  <si>
    <t>Expert in Intimidation</t>
  </si>
  <si>
    <t>Armored Stealth (E Stealth)</t>
  </si>
  <si>
    <t>+1 Sling</t>
  </si>
  <si>
    <t>+1 Sickle</t>
  </si>
  <si>
    <t>Silk Pyjama (25 gp)</t>
  </si>
  <si>
    <t>Spores of Gloomglow Mushrooms</t>
  </si>
  <si>
    <t>Deed to Citadel Altaerein</t>
  </si>
  <si>
    <t>Hunter's Arrowhead</t>
  </si>
  <si>
    <t>Cinderclaw Gauntlet</t>
  </si>
  <si>
    <t>Free-Hand</t>
  </si>
  <si>
    <t>Crit +1d6 fire [R sick]</t>
  </si>
  <si>
    <t>Religious Symbol (Gold, Dahak) (20gp)</t>
  </si>
  <si>
    <t>Religious Symbol (Platinum, Alseta) (100gp)</t>
  </si>
  <si>
    <t>2+4</t>
  </si>
  <si>
    <t>Antiplague (Lesser)</t>
  </si>
  <si>
    <t>Elixir of Life (Lesser)</t>
  </si>
  <si>
    <t>Arsenic Tainted Gold (1 gp)</t>
  </si>
  <si>
    <t>Vine Arrow (1d8)</t>
  </si>
  <si>
    <t>Tent (Pup)</t>
  </si>
  <si>
    <t>Swarmsuit</t>
  </si>
  <si>
    <t>Mosquito Netting (6 sp)</t>
  </si>
  <si>
    <t>Mosquito Repelant (5 sp)</t>
  </si>
  <si>
    <t>Salve of Antiparalysis (Hot Pepper)</t>
  </si>
  <si>
    <t>+1 Hide Armor (+4 M2 -2/14)</t>
  </si>
  <si>
    <t>+1 Sickle (1d4)</t>
  </si>
  <si>
    <t>+1 Chain Shirt (+2 M3 -1/12, flexible, noisy)</t>
  </si>
  <si>
    <t>AC Armor base</t>
  </si>
  <si>
    <t>Item bonus</t>
  </si>
  <si>
    <t>PRO</t>
  </si>
  <si>
    <t>Notes/Anathema</t>
  </si>
  <si>
    <t xml:space="preserve"> Left in the protected room near the portal under the citadel: +1 Chain Shirt, +1 Hide Armor
Chain Shirt *5, Hide armor *3, Studded leather *5, Leather armor *2, +1 War Flail, +1 Hatchet
Dagger *2, Composite shortbow *3, Longsword *5, Shortbow *4, Sling *2, Whip *3, Sickle *3
Javelin *6, Club *4, Arrow *30, Lesser Comprehension elixir, Voz papers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</si>
</sst>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rgb="FF000000"/>
      <name val="Calibri"/>
    </font>
    <font>
      <sz val="11"/>
      <color theme="1"/>
      <name val="Calibri"/>
      <family val="2"/>
      <scheme val="minor"/>
    </font>
    <font>
      <b/>
      <sz val="11"/>
      <color rgb="FF000000"/>
      <name val="Calibri"/>
      <family val="2"/>
    </font>
    <font>
      <sz val="11"/>
      <color theme="1"/>
      <name val="Calibri"/>
      <family val="2"/>
    </font>
    <font>
      <b/>
      <sz val="11"/>
      <color theme="1"/>
      <name val="Calibri"/>
      <family val="2"/>
    </font>
    <font>
      <sz val="11"/>
      <color rgb="FF000000"/>
      <name val="Calibri"/>
      <family val="2"/>
    </font>
    <font>
      <b/>
      <sz val="11"/>
      <color rgb="FF000000"/>
      <name val="Calibri"/>
      <family val="2"/>
    </font>
    <font>
      <i/>
      <sz val="11"/>
      <color rgb="FF000000"/>
      <name val="Calibri"/>
      <family val="2"/>
    </font>
    <font>
      <sz val="8"/>
      <name val="Calibri"/>
      <family val="2"/>
    </font>
    <font>
      <i/>
      <sz val="11"/>
      <color rgb="FFFF0000"/>
      <name val="Calibri"/>
      <family val="2"/>
    </font>
    <font>
      <sz val="11"/>
      <name val="Calibri"/>
      <family val="2"/>
    </font>
    <font>
      <u/>
      <sz val="11"/>
      <color theme="10"/>
      <name val="Calibri"/>
      <family val="2"/>
    </font>
    <font>
      <u/>
      <sz val="11"/>
      <color theme="10"/>
      <name val="Calibri"/>
      <family val="2"/>
      <scheme val="minor"/>
    </font>
    <font>
      <u/>
      <sz val="11"/>
      <color theme="10"/>
      <name val="Calibri"/>
      <family val="2"/>
    </font>
    <font>
      <b/>
      <sz val="11"/>
      <name val="Calibri"/>
      <family val="2"/>
    </font>
    <font>
      <sz val="14"/>
      <color rgb="FF000000"/>
      <name val="Calibri"/>
      <family val="2"/>
    </font>
    <font>
      <b/>
      <sz val="14"/>
      <color rgb="FF000000"/>
      <name val="Calibri"/>
      <family val="2"/>
    </font>
    <font>
      <b/>
      <sz val="22"/>
      <color rgb="FF000000"/>
      <name val="Calibri"/>
      <family val="2"/>
    </font>
    <font>
      <sz val="8"/>
      <color rgb="FF000000"/>
      <name val="Calibri"/>
      <family val="2"/>
    </font>
    <font>
      <sz val="11"/>
      <name val="Calibri"/>
      <family val="2"/>
      <scheme val="minor"/>
    </font>
    <font>
      <sz val="11"/>
      <color rgb="FF000000"/>
      <name val="Calibri"/>
      <family val="2"/>
    </font>
    <font>
      <b/>
      <sz val="11"/>
      <color theme="0"/>
      <name val="Calibri"/>
      <family val="2"/>
    </font>
    <font>
      <b/>
      <sz val="11"/>
      <color rgb="FFFF0000"/>
      <name val="Calibri"/>
      <family val="2"/>
      <scheme val="minor"/>
    </font>
    <font>
      <b/>
      <sz val="11"/>
      <color rgb="FFFF0000"/>
      <name val="Calibri"/>
      <family val="2"/>
    </font>
    <font>
      <b/>
      <sz val="14"/>
      <color indexed="8"/>
      <name val="Calibri"/>
      <family val="2"/>
    </font>
    <font>
      <b/>
      <u/>
      <sz val="11"/>
      <color theme="10"/>
      <name val="Calibri"/>
      <family val="2"/>
      <scheme val="minor"/>
    </font>
    <font>
      <b/>
      <u/>
      <sz val="11"/>
      <color theme="10"/>
      <name val="Calibri"/>
      <family val="2"/>
    </font>
    <font>
      <i/>
      <sz val="11"/>
      <color indexed="8"/>
      <name val="Calibri"/>
      <family val="2"/>
    </font>
    <font>
      <i/>
      <u/>
      <sz val="11"/>
      <color theme="10"/>
      <name val="Calibri"/>
      <family val="2"/>
      <scheme val="minor"/>
    </font>
    <font>
      <i/>
      <u/>
      <sz val="11"/>
      <color theme="10"/>
      <name val="Calibri"/>
      <family val="2"/>
    </font>
    <font>
      <i/>
      <sz val="11"/>
      <color theme="1"/>
      <name val="Calibri"/>
      <family val="2"/>
    </font>
    <font>
      <b/>
      <sz val="11"/>
      <name val="Calibri"/>
      <family val="2"/>
      <scheme val="minor"/>
    </font>
    <font>
      <b/>
      <sz val="22"/>
      <color indexed="8"/>
      <name val="Calibri"/>
      <family val="2"/>
    </font>
    <font>
      <sz val="11"/>
      <color indexed="8"/>
      <name val="Calibri"/>
      <family val="2"/>
    </font>
    <font>
      <b/>
      <sz val="11"/>
      <color indexed="8"/>
      <name val="Calibri"/>
      <family val="2"/>
    </font>
  </fonts>
  <fills count="30">
    <fill>
      <patternFill patternType="none"/>
    </fill>
    <fill>
      <patternFill patternType="gray125"/>
    </fill>
    <fill>
      <patternFill patternType="solid">
        <fgColor rgb="FFDBE5F1"/>
        <bgColor rgb="FFDBE5F1"/>
      </patternFill>
    </fill>
    <fill>
      <patternFill patternType="solid">
        <fgColor rgb="FF00FF00"/>
        <bgColor rgb="FF00FF00"/>
      </patternFill>
    </fill>
    <fill>
      <patternFill patternType="solid">
        <fgColor rgb="FFFFFF00"/>
        <bgColor rgb="FFFFFF00"/>
      </patternFill>
    </fill>
    <fill>
      <patternFill patternType="solid">
        <fgColor rgb="FFFFFF0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DEEAF6"/>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bgColor indexed="64"/>
      </patternFill>
    </fill>
    <fill>
      <patternFill patternType="solid">
        <fgColor rgb="FF92D050"/>
        <bgColor indexed="64"/>
      </patternFill>
    </fill>
    <fill>
      <patternFill patternType="solid">
        <fgColor rgb="FF92D050"/>
        <bgColor rgb="FFFFFF00"/>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143">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rgb="FF000000"/>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indexed="64"/>
      </left>
      <right style="medium">
        <color indexed="64"/>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style="medium">
        <color indexed="64"/>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thin">
        <color rgb="FF000000"/>
      </left>
      <right style="thin">
        <color indexed="64"/>
      </right>
      <top style="medium">
        <color indexed="64"/>
      </top>
      <bottom style="medium">
        <color indexed="64"/>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indexed="64"/>
      </right>
      <top style="medium">
        <color rgb="FF000000"/>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right style="thin">
        <color indexed="64"/>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thin">
        <color indexed="64"/>
      </right>
      <top style="medium">
        <color rgb="FF000000"/>
      </top>
      <bottom/>
      <diagonal/>
    </border>
    <border>
      <left style="medium">
        <color indexed="64"/>
      </left>
      <right style="medium">
        <color indexed="64"/>
      </right>
      <top style="medium">
        <color rgb="FF000000"/>
      </top>
      <bottom/>
      <diagonal/>
    </border>
  </borders>
  <cellStyleXfs count="6">
    <xf numFmtId="0" fontId="0" fillId="0" borderId="0"/>
    <xf numFmtId="0" fontId="11" fillId="0" borderId="0" applyNumberFormat="0" applyFill="0" applyBorder="0" applyAlignment="0" applyProtection="0"/>
    <xf numFmtId="0" fontId="1" fillId="0" borderId="1"/>
    <xf numFmtId="0" fontId="12" fillId="0" borderId="1" applyNumberFormat="0" applyFill="0" applyBorder="0" applyAlignment="0" applyProtection="0"/>
    <xf numFmtId="0" fontId="20" fillId="0" borderId="1"/>
    <xf numFmtId="0" fontId="11" fillId="0" borderId="1" applyNumberFormat="0" applyFill="0" applyBorder="0" applyAlignment="0" applyProtection="0"/>
  </cellStyleXfs>
  <cellXfs count="1583">
    <xf numFmtId="0" fontId="0" fillId="0" borderId="0" xfId="0" applyFont="1" applyAlignment="1"/>
    <xf numFmtId="0" fontId="0" fillId="0" borderId="0" xfId="0" applyFont="1"/>
    <xf numFmtId="0" fontId="0" fillId="2" borderId="1" xfId="0" applyFont="1" applyFill="1" applyBorder="1"/>
    <xf numFmtId="0" fontId="0" fillId="0" borderId="0" xfId="0" applyFont="1" applyAlignment="1">
      <alignment horizontal="center"/>
    </xf>
    <xf numFmtId="0" fontId="3" fillId="4" borderId="1" xfId="0" applyFont="1" applyFill="1" applyBorder="1" applyAlignment="1">
      <alignment horizontal="left"/>
    </xf>
    <xf numFmtId="0" fontId="3" fillId="0" borderId="0" xfId="0" applyFont="1"/>
    <xf numFmtId="0" fontId="0" fillId="0" borderId="0" xfId="0" applyFont="1" applyAlignment="1"/>
    <xf numFmtId="0" fontId="0" fillId="0" borderId="5" xfId="0" applyFont="1" applyFill="1" applyBorder="1" applyAlignment="1">
      <alignment horizontal="center"/>
    </xf>
    <xf numFmtId="0" fontId="0" fillId="0" borderId="18" xfId="0" applyFont="1" applyFill="1" applyBorder="1" applyAlignment="1">
      <alignment horizontal="center"/>
    </xf>
    <xf numFmtId="0" fontId="0" fillId="0" borderId="24" xfId="0" applyFont="1" applyFill="1" applyBorder="1" applyAlignment="1">
      <alignment horizontal="center"/>
    </xf>
    <xf numFmtId="0" fontId="0" fillId="0" borderId="20" xfId="0" applyFont="1" applyFill="1" applyBorder="1" applyAlignment="1">
      <alignment horizontal="center"/>
    </xf>
    <xf numFmtId="0" fontId="0" fillId="0" borderId="25" xfId="0" applyFont="1" applyFill="1" applyBorder="1" applyAlignment="1">
      <alignment horizontal="center"/>
    </xf>
    <xf numFmtId="0" fontId="0" fillId="0" borderId="36" xfId="0" applyFont="1" applyFill="1" applyBorder="1" applyAlignment="1">
      <alignment horizontal="center"/>
    </xf>
    <xf numFmtId="0" fontId="5" fillId="0" borderId="36" xfId="0" applyFont="1" applyFill="1" applyBorder="1" applyAlignment="1">
      <alignment horizontal="center"/>
    </xf>
    <xf numFmtId="0" fontId="0" fillId="0" borderId="35" xfId="0" applyFont="1" applyFill="1" applyBorder="1" applyAlignment="1">
      <alignment horizontal="left"/>
    </xf>
    <xf numFmtId="0" fontId="0" fillId="0" borderId="41" xfId="0" applyFont="1" applyFill="1" applyBorder="1" applyAlignment="1">
      <alignment horizontal="left"/>
    </xf>
    <xf numFmtId="0" fontId="0" fillId="0" borderId="63" xfId="0" applyFont="1" applyFill="1" applyBorder="1" applyAlignment="1">
      <alignment horizontal="left"/>
    </xf>
    <xf numFmtId="0" fontId="5" fillId="0" borderId="35" xfId="0" applyFont="1" applyFill="1" applyBorder="1" applyAlignment="1">
      <alignment horizontal="left"/>
    </xf>
    <xf numFmtId="0" fontId="0" fillId="0" borderId="27" xfId="0" applyFont="1" applyFill="1" applyBorder="1" applyAlignment="1">
      <alignment horizontal="center"/>
    </xf>
    <xf numFmtId="0" fontId="0" fillId="0" borderId="28" xfId="0" applyFont="1" applyFill="1" applyBorder="1" applyAlignment="1">
      <alignment horizontal="center"/>
    </xf>
    <xf numFmtId="0" fontId="0" fillId="0" borderId="26" xfId="0" applyFont="1" applyFill="1" applyBorder="1" applyAlignment="1">
      <alignment horizontal="center"/>
    </xf>
    <xf numFmtId="0" fontId="0" fillId="0" borderId="21" xfId="0" applyFont="1" applyFill="1" applyBorder="1" applyAlignment="1"/>
    <xf numFmtId="0" fontId="0" fillId="0" borderId="22" xfId="0" applyFont="1" applyFill="1" applyBorder="1" applyAlignment="1"/>
    <xf numFmtId="0" fontId="0" fillId="0" borderId="23" xfId="0" applyFont="1" applyFill="1" applyBorder="1" applyAlignment="1"/>
    <xf numFmtId="0" fontId="2" fillId="0" borderId="35" xfId="0" applyFont="1" applyFill="1" applyBorder="1"/>
    <xf numFmtId="0" fontId="0" fillId="0" borderId="33" xfId="0" applyFont="1" applyFill="1" applyBorder="1" applyAlignment="1">
      <alignment horizontal="center"/>
    </xf>
    <xf numFmtId="0" fontId="0" fillId="0" borderId="20" xfId="0" applyFont="1" applyFill="1" applyBorder="1" applyAlignment="1"/>
    <xf numFmtId="0" fontId="0" fillId="0" borderId="34" xfId="0" applyFont="1" applyFill="1" applyBorder="1" applyAlignment="1">
      <alignment horizontal="center"/>
    </xf>
    <xf numFmtId="0" fontId="0" fillId="0" borderId="12" xfId="0" applyFont="1" applyFill="1" applyBorder="1"/>
    <xf numFmtId="0" fontId="0" fillId="0" borderId="13" xfId="0" applyFont="1" applyFill="1" applyBorder="1"/>
    <xf numFmtId="0" fontId="0" fillId="0" borderId="14" xfId="0" applyFont="1" applyFill="1" applyBorder="1"/>
    <xf numFmtId="0" fontId="0" fillId="0" borderId="0" xfId="0" applyFont="1" applyFill="1" applyAlignment="1"/>
    <xf numFmtId="0" fontId="0" fillId="0" borderId="42" xfId="0" applyFont="1" applyFill="1" applyBorder="1"/>
    <xf numFmtId="0" fontId="0" fillId="0" borderId="43" xfId="0" applyFont="1" applyFill="1" applyBorder="1" applyAlignment="1">
      <alignment horizontal="center"/>
    </xf>
    <xf numFmtId="0" fontId="0" fillId="0" borderId="0" xfId="0" applyFont="1" applyFill="1"/>
    <xf numFmtId="0" fontId="0" fillId="0" borderId="29" xfId="0" applyFont="1" applyFill="1" applyBorder="1"/>
    <xf numFmtId="0" fontId="0" fillId="0" borderId="21" xfId="0" applyFont="1" applyFill="1" applyBorder="1" applyAlignment="1">
      <alignment horizontal="center"/>
    </xf>
    <xf numFmtId="0" fontId="0" fillId="0" borderId="22" xfId="0" applyFont="1" applyFill="1" applyBorder="1" applyAlignment="1">
      <alignment horizontal="center"/>
    </xf>
    <xf numFmtId="0" fontId="0" fillId="0" borderId="23" xfId="0" applyFont="1" applyFill="1" applyBorder="1" applyAlignment="1">
      <alignment horizontal="center"/>
    </xf>
    <xf numFmtId="0" fontId="0" fillId="0" borderId="30" xfId="0" applyFont="1" applyFill="1" applyBorder="1"/>
    <xf numFmtId="0" fontId="0" fillId="0" borderId="31" xfId="0" applyFont="1" applyFill="1" applyBorder="1"/>
    <xf numFmtId="0" fontId="5" fillId="0" borderId="52" xfId="0" applyFont="1" applyFill="1" applyBorder="1" applyAlignment="1"/>
    <xf numFmtId="0" fontId="0" fillId="0" borderId="53" xfId="0" applyFont="1" applyFill="1" applyBorder="1" applyAlignment="1"/>
    <xf numFmtId="0" fontId="5" fillId="0" borderId="30" xfId="0" applyFont="1" applyFill="1" applyBorder="1"/>
    <xf numFmtId="0" fontId="5" fillId="0" borderId="54" xfId="0" applyFont="1" applyFill="1" applyBorder="1" applyAlignment="1"/>
    <xf numFmtId="0" fontId="0" fillId="0" borderId="55" xfId="0" applyFont="1" applyFill="1" applyBorder="1" applyAlignment="1"/>
    <xf numFmtId="0" fontId="5" fillId="0" borderId="56" xfId="0" applyFont="1" applyFill="1" applyBorder="1" applyAlignment="1"/>
    <xf numFmtId="0" fontId="0" fillId="0" borderId="57" xfId="0" applyFont="1" applyFill="1" applyBorder="1" applyAlignment="1"/>
    <xf numFmtId="0" fontId="5" fillId="0" borderId="37" xfId="0" applyFont="1" applyFill="1" applyBorder="1"/>
    <xf numFmtId="0" fontId="0" fillId="0" borderId="38" xfId="0" applyFont="1" applyFill="1" applyBorder="1" applyAlignment="1">
      <alignment horizontal="center"/>
    </xf>
    <xf numFmtId="0" fontId="0" fillId="0" borderId="39" xfId="0" applyFont="1" applyFill="1" applyBorder="1" applyAlignment="1">
      <alignment horizontal="center"/>
    </xf>
    <xf numFmtId="0" fontId="5" fillId="0" borderId="9" xfId="0" applyFont="1" applyFill="1" applyBorder="1"/>
    <xf numFmtId="0" fontId="5" fillId="0" borderId="59" xfId="0" applyFont="1" applyFill="1" applyBorder="1"/>
    <xf numFmtId="0" fontId="5" fillId="0" borderId="60" xfId="0" applyFont="1" applyFill="1" applyBorder="1"/>
    <xf numFmtId="0" fontId="5" fillId="0" borderId="61" xfId="0" applyFont="1" applyFill="1" applyBorder="1"/>
    <xf numFmtId="0" fontId="0" fillId="0" borderId="35" xfId="0" applyFont="1" applyFill="1" applyBorder="1" applyAlignment="1">
      <alignment horizontal="center"/>
    </xf>
    <xf numFmtId="0" fontId="0" fillId="0" borderId="41" xfId="0" applyFont="1" applyFill="1" applyBorder="1" applyAlignment="1">
      <alignment horizontal="center"/>
    </xf>
    <xf numFmtId="0" fontId="0" fillId="0" borderId="37" xfId="0" applyFont="1" applyFill="1" applyBorder="1"/>
    <xf numFmtId="0" fontId="0" fillId="0" borderId="49" xfId="0" applyFont="1" applyFill="1" applyBorder="1"/>
    <xf numFmtId="0" fontId="0" fillId="0" borderId="50" xfId="0" applyFont="1" applyFill="1" applyBorder="1"/>
    <xf numFmtId="0" fontId="0" fillId="0" borderId="51" xfId="0" applyFont="1" applyFill="1" applyBorder="1"/>
    <xf numFmtId="0" fontId="0" fillId="0" borderId="9" xfId="0" applyFill="1" applyBorder="1"/>
    <xf numFmtId="0" fontId="6" fillId="0" borderId="19" xfId="0" applyFont="1" applyFill="1" applyBorder="1"/>
    <xf numFmtId="0" fontId="0" fillId="0" borderId="33" xfId="0" applyFont="1" applyFill="1" applyBorder="1"/>
    <xf numFmtId="0" fontId="5" fillId="0" borderId="0" xfId="0" applyFont="1" applyFill="1" applyAlignment="1"/>
    <xf numFmtId="0" fontId="5" fillId="0" borderId="35" xfId="0" applyFont="1" applyFill="1" applyBorder="1"/>
    <xf numFmtId="0" fontId="0" fillId="0" borderId="8" xfId="0" applyFont="1" applyFill="1" applyBorder="1"/>
    <xf numFmtId="0" fontId="0" fillId="0" borderId="15" xfId="0" applyFont="1" applyFill="1" applyBorder="1"/>
    <xf numFmtId="0" fontId="0" fillId="0" borderId="7" xfId="0" applyFont="1" applyFill="1" applyBorder="1"/>
    <xf numFmtId="0" fontId="5" fillId="0" borderId="8" xfId="0" applyFont="1" applyFill="1" applyBorder="1"/>
    <xf numFmtId="0" fontId="5" fillId="0" borderId="20" xfId="0" applyFont="1" applyFill="1" applyBorder="1" applyAlignment="1">
      <alignment horizontal="center"/>
    </xf>
    <xf numFmtId="0" fontId="6" fillId="0" borderId="2" xfId="0" applyFont="1" applyFill="1" applyBorder="1"/>
    <xf numFmtId="0" fontId="0" fillId="0" borderId="47" xfId="0" applyFont="1" applyFill="1" applyBorder="1"/>
    <xf numFmtId="0" fontId="0" fillId="0" borderId="65" xfId="0" applyFont="1" applyFill="1" applyBorder="1" applyAlignment="1"/>
    <xf numFmtId="0" fontId="0" fillId="0" borderId="48" xfId="0" applyFont="1" applyFill="1" applyBorder="1"/>
    <xf numFmtId="0" fontId="5" fillId="0" borderId="62" xfId="0" applyFont="1" applyFill="1" applyBorder="1" applyAlignment="1"/>
    <xf numFmtId="0" fontId="0" fillId="0" borderId="40" xfId="0" applyFont="1" applyFill="1" applyBorder="1"/>
    <xf numFmtId="0" fontId="0" fillId="0" borderId="38" xfId="0" applyFont="1" applyFill="1" applyBorder="1"/>
    <xf numFmtId="0" fontId="2" fillId="0" borderId="33" xfId="0" applyFont="1" applyFill="1" applyBorder="1"/>
    <xf numFmtId="0" fontId="2" fillId="0" borderId="34" xfId="0" applyFont="1" applyFill="1" applyBorder="1"/>
    <xf numFmtId="0" fontId="2" fillId="0" borderId="33" xfId="0" applyFont="1" applyFill="1" applyBorder="1" applyAlignment="1"/>
    <xf numFmtId="0" fontId="2" fillId="0" borderId="35" xfId="0" applyFont="1" applyFill="1" applyBorder="1" applyAlignment="1"/>
    <xf numFmtId="0" fontId="5" fillId="0" borderId="54" xfId="0" applyFont="1" applyFill="1" applyBorder="1"/>
    <xf numFmtId="0" fontId="5" fillId="0" borderId="56" xfId="0" applyFont="1" applyFill="1" applyBorder="1"/>
    <xf numFmtId="0" fontId="0" fillId="0" borderId="35" xfId="0" applyFont="1" applyFill="1" applyBorder="1" applyAlignment="1"/>
    <xf numFmtId="0" fontId="5" fillId="0" borderId="52" xfId="0" applyFont="1" applyFill="1" applyBorder="1"/>
    <xf numFmtId="0" fontId="0" fillId="0" borderId="52" xfId="0" applyFont="1" applyFill="1" applyBorder="1"/>
    <xf numFmtId="0" fontId="0" fillId="0" borderId="56" xfId="0" applyFont="1" applyFill="1" applyBorder="1"/>
    <xf numFmtId="0" fontId="0" fillId="0" borderId="54" xfId="0" applyFont="1" applyFill="1" applyBorder="1"/>
    <xf numFmtId="0" fontId="0" fillId="0" borderId="24" xfId="0" applyFont="1" applyFill="1" applyBorder="1" applyAlignment="1"/>
    <xf numFmtId="0" fontId="0" fillId="0" borderId="25" xfId="0" applyFont="1" applyFill="1" applyBorder="1" applyAlignment="1"/>
    <xf numFmtId="0" fontId="0" fillId="0" borderId="26" xfId="0" applyFont="1" applyFill="1" applyBorder="1" applyAlignment="1"/>
    <xf numFmtId="0" fontId="0" fillId="0" borderId="27" xfId="0" applyFont="1" applyFill="1" applyBorder="1" applyAlignment="1"/>
    <xf numFmtId="0" fontId="0" fillId="0" borderId="28" xfId="0" applyFont="1" applyFill="1" applyBorder="1" applyAlignment="1"/>
    <xf numFmtId="0" fontId="5" fillId="0" borderId="50" xfId="0" applyFont="1" applyFill="1" applyBorder="1"/>
    <xf numFmtId="0" fontId="0" fillId="0" borderId="1" xfId="0" applyFont="1" applyFill="1" applyBorder="1" applyAlignment="1"/>
    <xf numFmtId="0" fontId="0" fillId="0" borderId="1" xfId="0" applyFont="1" applyFill="1" applyBorder="1" applyAlignment="1">
      <alignment horizontal="left"/>
    </xf>
    <xf numFmtId="0" fontId="0" fillId="0" borderId="3" xfId="0" applyFont="1" applyFill="1" applyBorder="1" applyAlignment="1">
      <alignment horizontal="center"/>
    </xf>
    <xf numFmtId="0" fontId="0" fillId="0" borderId="13" xfId="0" applyFont="1" applyFill="1" applyBorder="1" applyAlignment="1">
      <alignment horizontal="center"/>
    </xf>
    <xf numFmtId="0" fontId="0" fillId="0" borderId="4" xfId="0" applyFont="1" applyFill="1" applyBorder="1" applyAlignment="1">
      <alignment horizontal="center"/>
    </xf>
    <xf numFmtId="3" fontId="0" fillId="0" borderId="13" xfId="0" applyNumberFormat="1" applyFont="1" applyFill="1" applyBorder="1" applyAlignment="1">
      <alignment horizontal="center"/>
    </xf>
    <xf numFmtId="0" fontId="0" fillId="0" borderId="17" xfId="0" applyFont="1" applyFill="1" applyBorder="1" applyAlignment="1">
      <alignment horizontal="center"/>
    </xf>
    <xf numFmtId="0" fontId="0" fillId="0" borderId="6" xfId="0" applyFont="1" applyFill="1" applyBorder="1" applyAlignment="1">
      <alignment horizontal="center"/>
    </xf>
    <xf numFmtId="0" fontId="2" fillId="0" borderId="12" xfId="0" applyFont="1" applyFill="1" applyBorder="1"/>
    <xf numFmtId="0" fontId="0" fillId="0" borderId="0" xfId="0" applyFont="1" applyFill="1" applyAlignment="1">
      <alignment wrapText="1"/>
    </xf>
    <xf numFmtId="0" fontId="5" fillId="0" borderId="1" xfId="0" applyFont="1" applyFill="1" applyBorder="1" applyAlignment="1">
      <alignment horizontal="left" wrapText="1"/>
    </xf>
    <xf numFmtId="0" fontId="5" fillId="0" borderId="67" xfId="0" applyFont="1" applyFill="1" applyBorder="1" applyAlignment="1">
      <alignment wrapText="1"/>
    </xf>
    <xf numFmtId="0" fontId="0" fillId="0" borderId="0" xfId="0" applyFont="1" applyFill="1" applyAlignment="1">
      <alignment horizontal="left" wrapText="1"/>
    </xf>
    <xf numFmtId="0" fontId="5" fillId="0" borderId="0" xfId="0" applyFont="1" applyFill="1" applyAlignment="1">
      <alignment horizontal="left" wrapText="1"/>
    </xf>
    <xf numFmtId="0" fontId="5" fillId="0" borderId="45" xfId="0" applyFont="1" applyFill="1" applyBorder="1" applyAlignment="1">
      <alignment wrapText="1"/>
    </xf>
    <xf numFmtId="0" fontId="10" fillId="0" borderId="0" xfId="0" applyFont="1" applyFill="1" applyAlignment="1">
      <alignment horizontal="left" wrapText="1"/>
    </xf>
    <xf numFmtId="0" fontId="10" fillId="0" borderId="0" xfId="0" applyFont="1" applyFill="1" applyAlignment="1">
      <alignment wrapText="1"/>
    </xf>
    <xf numFmtId="0" fontId="9" fillId="0" borderId="0" xfId="0" applyFont="1" applyFill="1" applyAlignment="1">
      <alignment horizontal="left" wrapText="1"/>
    </xf>
    <xf numFmtId="0" fontId="5" fillId="0" borderId="68" xfId="0" applyFont="1" applyFill="1" applyBorder="1" applyAlignment="1">
      <alignment wrapText="1"/>
    </xf>
    <xf numFmtId="0" fontId="0" fillId="0" borderId="20" xfId="0" applyFill="1" applyBorder="1"/>
    <xf numFmtId="0" fontId="6" fillId="0" borderId="67" xfId="0" applyFont="1" applyFill="1" applyBorder="1"/>
    <xf numFmtId="0" fontId="5" fillId="0" borderId="25" xfId="0" applyFont="1" applyFill="1" applyBorder="1" applyAlignment="1">
      <alignment horizontal="center"/>
    </xf>
    <xf numFmtId="0" fontId="0" fillId="0" borderId="47" xfId="0" applyFont="1" applyBorder="1" applyAlignment="1"/>
    <xf numFmtId="0" fontId="0" fillId="0" borderId="65" xfId="0" applyFont="1" applyBorder="1" applyAlignment="1"/>
    <xf numFmtId="0" fontId="0" fillId="0" borderId="40" xfId="0" applyFont="1" applyBorder="1" applyAlignment="1"/>
    <xf numFmtId="0" fontId="0" fillId="0" borderId="35" xfId="0" applyFont="1" applyBorder="1" applyAlignment="1"/>
    <xf numFmtId="0" fontId="5" fillId="12" borderId="62" xfId="0" applyFont="1" applyFill="1" applyBorder="1" applyAlignment="1"/>
    <xf numFmtId="0" fontId="0" fillId="14" borderId="47" xfId="0" applyFont="1" applyFill="1" applyBorder="1" applyAlignment="1"/>
    <xf numFmtId="0" fontId="0" fillId="14" borderId="40" xfId="0" applyFont="1" applyFill="1" applyBorder="1" applyAlignment="1"/>
    <xf numFmtId="0" fontId="5" fillId="13" borderId="46" xfId="0" applyFont="1" applyFill="1" applyBorder="1" applyAlignment="1"/>
    <xf numFmtId="0" fontId="0" fillId="0" borderId="62" xfId="0" applyFont="1" applyBorder="1" applyAlignment="1"/>
    <xf numFmtId="0" fontId="0" fillId="0" borderId="46" xfId="0" applyFont="1" applyBorder="1" applyAlignment="1"/>
    <xf numFmtId="0" fontId="0" fillId="0" borderId="34" xfId="0" applyFont="1" applyBorder="1" applyAlignment="1"/>
    <xf numFmtId="0" fontId="5" fillId="12" borderId="48" xfId="0" applyFont="1" applyFill="1" applyBorder="1" applyAlignment="1"/>
    <xf numFmtId="0" fontId="0" fillId="0" borderId="48" xfId="0" applyFont="1" applyBorder="1" applyAlignment="1"/>
    <xf numFmtId="0" fontId="0" fillId="0" borderId="1" xfId="0" applyFont="1" applyBorder="1" applyAlignment="1"/>
    <xf numFmtId="0" fontId="5" fillId="0" borderId="40" xfId="0" applyFont="1" applyBorder="1" applyAlignment="1"/>
    <xf numFmtId="0" fontId="0" fillId="14" borderId="34" xfId="0" applyFont="1" applyFill="1" applyBorder="1"/>
    <xf numFmtId="0" fontId="5" fillId="14" borderId="34" xfId="0" applyFont="1" applyFill="1" applyBorder="1"/>
    <xf numFmtId="3" fontId="0" fillId="0" borderId="71" xfId="0" applyNumberFormat="1" applyFont="1" applyFill="1" applyBorder="1" applyAlignment="1">
      <alignment horizontal="center"/>
    </xf>
    <xf numFmtId="0" fontId="0" fillId="0" borderId="72" xfId="0" applyFont="1" applyFill="1" applyBorder="1" applyAlignment="1"/>
    <xf numFmtId="164" fontId="0" fillId="0" borderId="1" xfId="0" applyNumberFormat="1" applyFont="1" applyFill="1" applyBorder="1" applyAlignment="1">
      <alignment horizontal="center"/>
    </xf>
    <xf numFmtId="0" fontId="3" fillId="0" borderId="20" xfId="2" applyFont="1" applyBorder="1" applyAlignment="1">
      <alignment vertical="center" wrapText="1"/>
    </xf>
    <xf numFmtId="0" fontId="12" fillId="0" borderId="20" xfId="3" applyBorder="1" applyAlignment="1">
      <alignment vertical="center" wrapText="1"/>
    </xf>
    <xf numFmtId="0" fontId="5" fillId="0" borderId="20" xfId="2" applyFont="1" applyBorder="1" applyAlignment="1">
      <alignment vertical="center" wrapText="1"/>
    </xf>
    <xf numFmtId="0" fontId="12" fillId="0" borderId="20" xfId="3" applyBorder="1" applyAlignment="1">
      <alignment horizontal="justify" vertical="center"/>
    </xf>
    <xf numFmtId="0" fontId="12" fillId="0" borderId="20" xfId="3" applyFill="1" applyBorder="1" applyAlignment="1">
      <alignment vertical="center" wrapText="1"/>
    </xf>
    <xf numFmtId="0" fontId="12" fillId="0" borderId="20" xfId="3" applyBorder="1" applyAlignment="1">
      <alignment vertical="center"/>
    </xf>
    <xf numFmtId="0" fontId="2" fillId="0" borderId="9" xfId="0" applyFont="1" applyFill="1" applyBorder="1"/>
    <xf numFmtId="0" fontId="0" fillId="0" borderId="0" xfId="0" applyFont="1" applyFill="1" applyAlignment="1">
      <alignment vertical="center"/>
    </xf>
    <xf numFmtId="0" fontId="0" fillId="0" borderId="57" xfId="0" applyFont="1" applyFill="1" applyBorder="1" applyAlignment="1">
      <alignment horizontal="center"/>
    </xf>
    <xf numFmtId="0" fontId="0" fillId="0" borderId="75" xfId="0" applyFont="1" applyFill="1" applyBorder="1" applyAlignment="1">
      <alignment horizontal="center"/>
    </xf>
    <xf numFmtId="0" fontId="0" fillId="0" borderId="32" xfId="0" applyFont="1" applyFill="1" applyBorder="1"/>
    <xf numFmtId="0" fontId="0" fillId="0" borderId="53" xfId="0" applyFont="1" applyFill="1" applyBorder="1" applyAlignment="1">
      <alignment horizontal="center"/>
    </xf>
    <xf numFmtId="0" fontId="0" fillId="0" borderId="77" xfId="0" applyFont="1" applyFill="1" applyBorder="1" applyAlignment="1">
      <alignment horizontal="center"/>
    </xf>
    <xf numFmtId="0" fontId="0" fillId="0" borderId="78" xfId="0" applyFont="1" applyFill="1" applyBorder="1" applyAlignment="1">
      <alignment horizontal="center"/>
    </xf>
    <xf numFmtId="0" fontId="0" fillId="0" borderId="80" xfId="0" applyFont="1" applyFill="1" applyBorder="1" applyAlignment="1">
      <alignment horizontal="center"/>
    </xf>
    <xf numFmtId="3" fontId="0" fillId="0" borderId="77" xfId="0" applyNumberFormat="1" applyFont="1" applyFill="1" applyBorder="1" applyAlignment="1">
      <alignment horizontal="center"/>
    </xf>
    <xf numFmtId="0" fontId="5" fillId="0" borderId="67" xfId="0" applyFont="1" applyFill="1" applyBorder="1"/>
    <xf numFmtId="0" fontId="0" fillId="9" borderId="70" xfId="0" applyFont="1" applyFill="1" applyBorder="1"/>
    <xf numFmtId="0" fontId="0" fillId="9" borderId="77" xfId="0" applyFont="1" applyFill="1" applyBorder="1" applyAlignment="1">
      <alignment horizontal="center"/>
    </xf>
    <xf numFmtId="0" fontId="0" fillId="9" borderId="13" xfId="0" applyFont="1" applyFill="1" applyBorder="1" applyAlignment="1">
      <alignment horizontal="center"/>
    </xf>
    <xf numFmtId="0" fontId="0" fillId="9" borderId="74" xfId="0" applyFont="1" applyFill="1" applyBorder="1"/>
    <xf numFmtId="0" fontId="0" fillId="9" borderId="43" xfId="0" applyFont="1" applyFill="1" applyBorder="1"/>
    <xf numFmtId="0" fontId="0" fillId="9" borderId="44" xfId="0" applyFont="1" applyFill="1" applyBorder="1"/>
    <xf numFmtId="0" fontId="0" fillId="9" borderId="32" xfId="0" applyFont="1" applyFill="1" applyBorder="1"/>
    <xf numFmtId="0" fontId="0" fillId="9" borderId="45" xfId="0" applyFont="1" applyFill="1" applyBorder="1"/>
    <xf numFmtId="0" fontId="0" fillId="9" borderId="18" xfId="0" applyFont="1" applyFill="1" applyBorder="1" applyAlignment="1">
      <alignment horizontal="center"/>
    </xf>
    <xf numFmtId="0" fontId="0" fillId="9" borderId="75" xfId="0" applyFont="1" applyFill="1" applyBorder="1" applyAlignment="1">
      <alignment horizontal="center"/>
    </xf>
    <xf numFmtId="0" fontId="5" fillId="9" borderId="67" xfId="0" applyFont="1" applyFill="1" applyBorder="1"/>
    <xf numFmtId="0" fontId="5" fillId="9" borderId="68" xfId="0" applyFont="1" applyFill="1" applyBorder="1"/>
    <xf numFmtId="0" fontId="0" fillId="9" borderId="68" xfId="0" applyFont="1" applyFill="1" applyBorder="1"/>
    <xf numFmtId="3" fontId="0" fillId="0" borderId="75" xfId="0" applyNumberFormat="1" applyFont="1" applyFill="1" applyBorder="1" applyAlignment="1">
      <alignment horizontal="center"/>
    </xf>
    <xf numFmtId="3" fontId="0" fillId="0" borderId="18" xfId="0" applyNumberFormat="1" applyFont="1" applyFill="1" applyBorder="1" applyAlignment="1">
      <alignment horizontal="center"/>
    </xf>
    <xf numFmtId="0" fontId="0" fillId="0" borderId="82" xfId="0" applyFont="1" applyFill="1" applyBorder="1" applyAlignment="1">
      <alignment horizontal="center"/>
    </xf>
    <xf numFmtId="3" fontId="0" fillId="0" borderId="83" xfId="0" applyNumberFormat="1" applyFont="1" applyFill="1" applyBorder="1" applyAlignment="1">
      <alignment horizontal="center"/>
    </xf>
    <xf numFmtId="0" fontId="5" fillId="9" borderId="70" xfId="0" applyFont="1" applyFill="1" applyBorder="1"/>
    <xf numFmtId="0" fontId="0" fillId="9" borderId="81" xfId="0" applyFont="1" applyFill="1" applyBorder="1"/>
    <xf numFmtId="0" fontId="0" fillId="9" borderId="76" xfId="0" applyFont="1" applyFill="1" applyBorder="1"/>
    <xf numFmtId="0" fontId="0" fillId="9" borderId="29" xfId="0" applyFont="1" applyFill="1" applyBorder="1"/>
    <xf numFmtId="0" fontId="0" fillId="9" borderId="42" xfId="0" applyFont="1" applyFill="1" applyBorder="1"/>
    <xf numFmtId="0" fontId="0" fillId="9" borderId="12" xfId="0" applyFont="1" applyFill="1" applyBorder="1"/>
    <xf numFmtId="0" fontId="0" fillId="9" borderId="13" xfId="0" applyFont="1" applyFill="1" applyBorder="1"/>
    <xf numFmtId="0" fontId="11" fillId="0" borderId="20" xfId="1" applyFill="1" applyBorder="1" applyAlignment="1">
      <alignment vertical="center" wrapText="1"/>
    </xf>
    <xf numFmtId="0" fontId="7" fillId="0" borderId="63" xfId="0" applyFont="1" applyFill="1" applyBorder="1" applyAlignment="1">
      <alignment horizontal="left" wrapText="1"/>
    </xf>
    <xf numFmtId="0" fontId="5" fillId="0" borderId="23" xfId="0" applyFont="1" applyFill="1" applyBorder="1" applyAlignment="1">
      <alignment horizontal="left" wrapText="1"/>
    </xf>
    <xf numFmtId="0" fontId="5" fillId="0" borderId="24" xfId="0" applyFont="1" applyFill="1" applyBorder="1" applyAlignment="1">
      <alignment horizontal="left" wrapText="1"/>
    </xf>
    <xf numFmtId="0" fontId="5" fillId="0" borderId="20" xfId="0" applyFont="1" applyFill="1" applyBorder="1" applyAlignment="1">
      <alignment horizontal="left" wrapText="1"/>
    </xf>
    <xf numFmtId="0" fontId="5" fillId="0" borderId="25" xfId="0" applyFont="1" applyFill="1" applyBorder="1" applyAlignment="1">
      <alignment horizontal="left" wrapText="1"/>
    </xf>
    <xf numFmtId="0" fontId="3" fillId="0" borderId="20" xfId="2" applyFont="1" applyBorder="1" applyAlignment="1">
      <alignment vertical="center"/>
    </xf>
    <xf numFmtId="0" fontId="4" fillId="0" borderId="20" xfId="2" applyFont="1" applyBorder="1" applyAlignment="1">
      <alignment vertical="center"/>
    </xf>
    <xf numFmtId="0" fontId="11" fillId="0" borderId="20" xfId="1" applyBorder="1" applyAlignment="1">
      <alignment vertical="center" wrapText="1"/>
    </xf>
    <xf numFmtId="0" fontId="5" fillId="0" borderId="40" xfId="2" applyFont="1" applyFill="1" applyBorder="1" applyAlignment="1">
      <alignment vertical="center"/>
    </xf>
    <xf numFmtId="0" fontId="5" fillId="0" borderId="35" xfId="2" applyFont="1" applyFill="1" applyBorder="1" applyAlignment="1">
      <alignment vertical="center"/>
    </xf>
    <xf numFmtId="0" fontId="0" fillId="0" borderId="47" xfId="0" applyFont="1" applyFill="1" applyBorder="1" applyAlignment="1">
      <alignment horizontal="center"/>
    </xf>
    <xf numFmtId="0" fontId="0" fillId="0" borderId="65" xfId="0" applyFont="1" applyFill="1" applyBorder="1" applyAlignment="1">
      <alignment horizontal="center"/>
    </xf>
    <xf numFmtId="0" fontId="0" fillId="0" borderId="66" xfId="0" applyFont="1" applyFill="1" applyBorder="1" applyAlignment="1">
      <alignment horizontal="center"/>
    </xf>
    <xf numFmtId="0" fontId="5" fillId="0" borderId="48" xfId="2" applyFont="1" applyFill="1" applyBorder="1" applyAlignment="1">
      <alignment vertical="center"/>
    </xf>
    <xf numFmtId="0" fontId="5" fillId="0" borderId="62" xfId="2" applyFont="1" applyFill="1" applyBorder="1" applyAlignment="1">
      <alignment vertical="center"/>
    </xf>
    <xf numFmtId="0" fontId="5" fillId="0" borderId="35" xfId="0" applyFont="1" applyFill="1" applyBorder="1" applyAlignment="1">
      <alignment horizontal="left" wrapText="1"/>
    </xf>
    <xf numFmtId="0" fontId="5" fillId="5" borderId="40" xfId="0" applyFont="1" applyFill="1" applyBorder="1" applyAlignment="1"/>
    <xf numFmtId="0" fontId="5" fillId="0" borderId="20" xfId="2" applyFont="1" applyFill="1" applyBorder="1" applyAlignment="1">
      <alignment vertical="center" wrapText="1"/>
    </xf>
    <xf numFmtId="0" fontId="5" fillId="0" borderId="29" xfId="0" applyFont="1" applyFill="1" applyBorder="1"/>
    <xf numFmtId="0" fontId="5" fillId="0" borderId="69" xfId="0" applyFont="1" applyFill="1" applyBorder="1"/>
    <xf numFmtId="0" fontId="5" fillId="0" borderId="24" xfId="0" applyFont="1" applyFill="1" applyBorder="1"/>
    <xf numFmtId="0" fontId="0" fillId="0" borderId="85" xfId="0" applyFont="1" applyFill="1" applyBorder="1" applyAlignment="1"/>
    <xf numFmtId="0" fontId="0" fillId="0" borderId="36" xfId="0" applyFont="1" applyFill="1" applyBorder="1" applyAlignment="1"/>
    <xf numFmtId="0" fontId="0" fillId="0" borderId="84" xfId="0" applyFont="1" applyFill="1" applyBorder="1" applyAlignment="1"/>
    <xf numFmtId="0" fontId="0" fillId="0" borderId="86" xfId="0" applyFont="1" applyFill="1" applyBorder="1"/>
    <xf numFmtId="0" fontId="0" fillId="0" borderId="87" xfId="0" applyFont="1" applyFill="1" applyBorder="1"/>
    <xf numFmtId="0" fontId="5" fillId="0" borderId="87" xfId="0" applyFont="1" applyFill="1" applyBorder="1"/>
    <xf numFmtId="0" fontId="5" fillId="0" borderId="27" xfId="0" applyFont="1" applyFill="1" applyBorder="1" applyAlignment="1">
      <alignment horizontal="center"/>
    </xf>
    <xf numFmtId="0" fontId="5" fillId="0" borderId="21" xfId="0" applyFont="1" applyFill="1" applyBorder="1"/>
    <xf numFmtId="0" fontId="7" fillId="0" borderId="26" xfId="0" applyFont="1" applyFill="1" applyBorder="1"/>
    <xf numFmtId="0" fontId="5" fillId="0" borderId="46" xfId="0" applyFont="1" applyFill="1" applyBorder="1"/>
    <xf numFmtId="0" fontId="6" fillId="0" borderId="58" xfId="0" applyFont="1" applyFill="1" applyBorder="1"/>
    <xf numFmtId="0" fontId="0" fillId="0" borderId="88" xfId="0" applyFont="1" applyFill="1" applyBorder="1" applyAlignment="1"/>
    <xf numFmtId="0" fontId="6" fillId="0" borderId="16" xfId="0" applyFont="1" applyFill="1" applyBorder="1"/>
    <xf numFmtId="0" fontId="0" fillId="0" borderId="10" xfId="0" applyFont="1" applyFill="1" applyBorder="1" applyAlignment="1"/>
    <xf numFmtId="0" fontId="0" fillId="0" borderId="11" xfId="0" applyFont="1" applyFill="1" applyBorder="1" applyAlignment="1"/>
    <xf numFmtId="0" fontId="0" fillId="0" borderId="89" xfId="0" applyFont="1" applyFill="1" applyBorder="1"/>
    <xf numFmtId="0" fontId="5" fillId="0" borderId="90" xfId="0" applyFont="1" applyFill="1" applyBorder="1"/>
    <xf numFmtId="0" fontId="0" fillId="0" borderId="90" xfId="0" applyFont="1" applyFill="1" applyBorder="1"/>
    <xf numFmtId="0" fontId="5" fillId="0" borderId="73" xfId="0" applyFont="1" applyFill="1" applyBorder="1"/>
    <xf numFmtId="0" fontId="10" fillId="0" borderId="20" xfId="2" applyFont="1" applyBorder="1" applyAlignment="1">
      <alignment vertical="center" wrapText="1"/>
    </xf>
    <xf numFmtId="0" fontId="12" fillId="0" borderId="27" xfId="3" applyFill="1" applyBorder="1" applyAlignment="1">
      <alignment vertical="center" wrapText="1"/>
    </xf>
    <xf numFmtId="0" fontId="11" fillId="0" borderId="35" xfId="1" applyFill="1" applyBorder="1" applyAlignment="1">
      <alignment vertical="center" wrapText="1"/>
    </xf>
    <xf numFmtId="0" fontId="12" fillId="0" borderId="21" xfId="3" applyBorder="1" applyAlignment="1">
      <alignment vertical="center" wrapText="1"/>
    </xf>
    <xf numFmtId="0" fontId="12" fillId="0" borderId="22" xfId="3" applyBorder="1" applyAlignment="1">
      <alignment vertical="center"/>
    </xf>
    <xf numFmtId="0" fontId="12" fillId="0" borderId="22" xfId="3" applyBorder="1" applyAlignment="1">
      <alignment vertical="center" wrapText="1"/>
    </xf>
    <xf numFmtId="0" fontId="7" fillId="0" borderId="66" xfId="0" applyFont="1" applyFill="1" applyBorder="1" applyAlignment="1">
      <alignment horizontal="left" wrapText="1"/>
    </xf>
    <xf numFmtId="0" fontId="11" fillId="0" borderId="26" xfId="1" applyFill="1" applyBorder="1" applyAlignment="1">
      <alignment vertical="center" wrapText="1"/>
    </xf>
    <xf numFmtId="0" fontId="11" fillId="0" borderId="27" xfId="1" applyFill="1" applyBorder="1" applyAlignment="1">
      <alignment vertical="center" wrapText="1"/>
    </xf>
    <xf numFmtId="0" fontId="13" fillId="0" borderId="20" xfId="1" applyFont="1" applyFill="1" applyBorder="1" applyAlignment="1">
      <alignment vertical="center" wrapText="1"/>
    </xf>
    <xf numFmtId="0" fontId="11" fillId="0" borderId="21" xfId="1" applyBorder="1" applyAlignment="1">
      <alignment vertical="center" wrapText="1"/>
    </xf>
    <xf numFmtId="0" fontId="11" fillId="0" borderId="22" xfId="1" applyBorder="1" applyAlignment="1">
      <alignment vertical="center" wrapText="1"/>
    </xf>
    <xf numFmtId="0" fontId="3" fillId="0" borderId="22" xfId="2" applyFont="1" applyBorder="1" applyAlignment="1">
      <alignment vertical="center" wrapText="1"/>
    </xf>
    <xf numFmtId="0" fontId="11" fillId="0" borderId="24" xfId="1" applyBorder="1" applyAlignment="1">
      <alignment vertical="center" wrapText="1"/>
    </xf>
    <xf numFmtId="0" fontId="3" fillId="0" borderId="24" xfId="2" applyFont="1" applyBorder="1" applyAlignment="1">
      <alignment vertical="center" wrapText="1"/>
    </xf>
    <xf numFmtId="0" fontId="12" fillId="0" borderId="26" xfId="3" applyBorder="1" applyAlignment="1">
      <alignment vertical="center" wrapText="1"/>
    </xf>
    <xf numFmtId="0" fontId="3" fillId="0" borderId="27" xfId="2" applyFont="1" applyBorder="1" applyAlignment="1">
      <alignment vertical="center" wrapText="1"/>
    </xf>
    <xf numFmtId="0" fontId="5" fillId="0" borderId="28" xfId="0" applyFont="1" applyFill="1" applyBorder="1" applyAlignment="1">
      <alignment horizontal="left" wrapText="1"/>
    </xf>
    <xf numFmtId="0" fontId="3" fillId="0" borderId="33" xfId="2" applyFont="1" applyBorder="1" applyAlignment="1">
      <alignment vertical="center" wrapText="1"/>
    </xf>
    <xf numFmtId="0" fontId="12" fillId="0" borderId="24" xfId="3" applyBorder="1" applyAlignment="1">
      <alignment vertical="center" wrapText="1"/>
    </xf>
    <xf numFmtId="0" fontId="12" fillId="0" borderId="25" xfId="3" applyFill="1" applyBorder="1" applyAlignment="1">
      <alignment vertical="center" wrapText="1"/>
    </xf>
    <xf numFmtId="0" fontId="12" fillId="0" borderId="27" xfId="3" applyBorder="1" applyAlignment="1">
      <alignment vertical="center" wrapText="1"/>
    </xf>
    <xf numFmtId="0" fontId="3" fillId="0" borderId="28" xfId="2" applyFont="1" applyBorder="1" applyAlignment="1">
      <alignment vertical="center" wrapText="1"/>
    </xf>
    <xf numFmtId="0" fontId="13" fillId="0" borderId="22" xfId="1" applyFont="1" applyFill="1" applyBorder="1" applyAlignment="1">
      <alignment vertical="center" wrapText="1"/>
    </xf>
    <xf numFmtId="0" fontId="3" fillId="0" borderId="23" xfId="2" applyFont="1" applyBorder="1" applyAlignment="1">
      <alignment vertical="center" wrapText="1"/>
    </xf>
    <xf numFmtId="0" fontId="12" fillId="0" borderId="26" xfId="3" applyFill="1" applyBorder="1" applyAlignment="1">
      <alignment vertical="center" wrapText="1"/>
    </xf>
    <xf numFmtId="0" fontId="11" fillId="0" borderId="33" xfId="1" applyFill="1" applyBorder="1" applyAlignment="1">
      <alignment vertical="center" wrapText="1"/>
    </xf>
    <xf numFmtId="0" fontId="12" fillId="0" borderId="48" xfId="3" applyFill="1" applyBorder="1" applyAlignment="1">
      <alignment vertical="center" wrapText="1"/>
    </xf>
    <xf numFmtId="0" fontId="12" fillId="0" borderId="62" xfId="3" applyFill="1" applyBorder="1" applyAlignment="1">
      <alignment vertical="center" wrapText="1"/>
    </xf>
    <xf numFmtId="0" fontId="11" fillId="0" borderId="62" xfId="1" applyBorder="1" applyAlignment="1">
      <alignment vertical="center" wrapText="1"/>
    </xf>
    <xf numFmtId="0" fontId="5" fillId="0" borderId="63" xfId="0" applyFont="1" applyFill="1" applyBorder="1" applyAlignment="1">
      <alignment horizontal="left" wrapText="1"/>
    </xf>
    <xf numFmtId="0" fontId="11" fillId="0" borderId="22" xfId="1" applyFill="1" applyBorder="1" applyAlignment="1">
      <alignment vertical="center" wrapText="1"/>
    </xf>
    <xf numFmtId="0" fontId="11" fillId="0" borderId="21" xfId="1" applyFill="1" applyBorder="1" applyAlignment="1">
      <alignment vertical="center" wrapText="1"/>
    </xf>
    <xf numFmtId="0" fontId="13" fillId="0" borderId="22" xfId="1" applyFont="1" applyBorder="1" applyAlignment="1">
      <alignment vertical="center" wrapText="1"/>
    </xf>
    <xf numFmtId="0" fontId="13" fillId="0" borderId="20" xfId="1" applyFont="1" applyBorder="1" applyAlignment="1">
      <alignment vertical="center" wrapText="1"/>
    </xf>
    <xf numFmtId="0" fontId="12" fillId="0" borderId="43" xfId="3" applyBorder="1" applyAlignment="1">
      <alignment vertical="center" wrapText="1"/>
    </xf>
    <xf numFmtId="0" fontId="11" fillId="0" borderId="43" xfId="1" applyFill="1" applyBorder="1" applyAlignment="1">
      <alignment vertical="center" wrapText="1"/>
    </xf>
    <xf numFmtId="0" fontId="10" fillId="0" borderId="20" xfId="2" applyFont="1" applyFill="1" applyBorder="1" applyAlignment="1">
      <alignment vertical="center" wrapText="1"/>
    </xf>
    <xf numFmtId="0" fontId="12" fillId="9" borderId="43" xfId="3" applyFill="1" applyBorder="1" applyAlignment="1">
      <alignment vertical="center" wrapText="1"/>
    </xf>
    <xf numFmtId="0" fontId="11" fillId="9" borderId="43" xfId="1" applyFill="1" applyBorder="1" applyAlignment="1">
      <alignment vertical="center" wrapText="1"/>
    </xf>
    <xf numFmtId="0" fontId="0" fillId="8" borderId="17" xfId="0" applyFont="1" applyFill="1" applyBorder="1" applyAlignment="1">
      <alignment horizontal="center"/>
    </xf>
    <xf numFmtId="0" fontId="0" fillId="8" borderId="5" xfId="0" applyFont="1" applyFill="1" applyBorder="1" applyAlignment="1">
      <alignment horizontal="center"/>
    </xf>
    <xf numFmtId="0" fontId="0" fillId="8" borderId="18" xfId="0" applyFont="1" applyFill="1" applyBorder="1" applyAlignment="1">
      <alignment horizontal="center"/>
    </xf>
    <xf numFmtId="0" fontId="0" fillId="8" borderId="80" xfId="0" applyFont="1" applyFill="1" applyBorder="1" applyAlignment="1">
      <alignment horizontal="center"/>
    </xf>
    <xf numFmtId="0" fontId="0" fillId="8" borderId="78" xfId="0" applyFont="1" applyFill="1" applyBorder="1" applyAlignment="1">
      <alignment horizontal="center"/>
    </xf>
    <xf numFmtId="0" fontId="0" fillId="8" borderId="3" xfId="0" applyFont="1" applyFill="1" applyBorder="1" applyAlignment="1">
      <alignment horizontal="center"/>
    </xf>
    <xf numFmtId="0" fontId="0" fillId="8" borderId="79" xfId="0" applyFont="1" applyFill="1" applyBorder="1" applyAlignment="1">
      <alignment horizontal="center"/>
    </xf>
    <xf numFmtId="0" fontId="0" fillId="8" borderId="4" xfId="0" applyFont="1" applyFill="1" applyBorder="1" applyAlignment="1">
      <alignment horizontal="center"/>
    </xf>
    <xf numFmtId="0" fontId="11" fillId="9" borderId="44" xfId="1" applyFill="1" applyBorder="1"/>
    <xf numFmtId="0" fontId="11" fillId="0" borderId="14" xfId="1" applyFill="1" applyBorder="1"/>
    <xf numFmtId="0" fontId="11" fillId="0" borderId="23" xfId="1" applyFill="1" applyBorder="1" applyAlignment="1">
      <alignment horizontal="left" vertical="center" wrapText="1"/>
    </xf>
    <xf numFmtId="0" fontId="4" fillId="0" borderId="20" xfId="2" applyFont="1" applyBorder="1" applyAlignment="1">
      <alignment vertical="center" wrapText="1"/>
    </xf>
    <xf numFmtId="0" fontId="2" fillId="0" borderId="0" xfId="0" applyFont="1" applyAlignment="1"/>
    <xf numFmtId="0" fontId="11" fillId="0" borderId="20" xfId="1" applyBorder="1" applyAlignment="1">
      <alignment horizontal="left" vertical="center"/>
    </xf>
    <xf numFmtId="0" fontId="13" fillId="0" borderId="20" xfId="1" applyFont="1" applyFill="1" applyBorder="1" applyAlignment="1">
      <alignment horizontal="left" vertical="center"/>
    </xf>
    <xf numFmtId="0" fontId="13" fillId="0" borderId="20" xfId="1" applyFont="1" applyBorder="1" applyAlignment="1">
      <alignment horizontal="left" vertical="center"/>
    </xf>
    <xf numFmtId="0" fontId="11" fillId="0" borderId="22" xfId="1" applyBorder="1" applyAlignment="1">
      <alignment horizontal="left" vertical="center"/>
    </xf>
    <xf numFmtId="0" fontId="11" fillId="0" borderId="23" xfId="1" applyBorder="1" applyAlignment="1">
      <alignment horizontal="left" vertical="center"/>
    </xf>
    <xf numFmtId="0" fontId="11" fillId="0" borderId="25" xfId="1" applyBorder="1" applyAlignment="1">
      <alignment horizontal="left" vertical="center"/>
    </xf>
    <xf numFmtId="0" fontId="11" fillId="0" borderId="27" xfId="1" applyBorder="1" applyAlignment="1">
      <alignment horizontal="left" vertical="center"/>
    </xf>
    <xf numFmtId="0" fontId="11" fillId="0" borderId="28" xfId="1" applyBorder="1" applyAlignment="1">
      <alignment horizontal="left" vertical="center"/>
    </xf>
    <xf numFmtId="0" fontId="13" fillId="0" borderId="22" xfId="1" applyFont="1" applyFill="1" applyBorder="1" applyAlignment="1">
      <alignment horizontal="left" vertical="center"/>
    </xf>
    <xf numFmtId="0" fontId="13" fillId="0" borderId="27" xfId="1" applyFont="1" applyFill="1" applyBorder="1" applyAlignment="1">
      <alignment horizontal="left" vertical="center"/>
    </xf>
    <xf numFmtId="0" fontId="11" fillId="0" borderId="22" xfId="1" applyFill="1" applyBorder="1" applyAlignment="1">
      <alignment horizontal="left" vertical="center"/>
    </xf>
    <xf numFmtId="0" fontId="3" fillId="0" borderId="73" xfId="2" applyFont="1" applyBorder="1" applyAlignment="1">
      <alignment vertical="center"/>
    </xf>
    <xf numFmtId="0" fontId="13" fillId="0" borderId="21" xfId="1" applyFont="1" applyBorder="1" applyAlignment="1">
      <alignment horizontal="left" vertical="center"/>
    </xf>
    <xf numFmtId="0" fontId="11" fillId="0" borderId="26" xfId="1" applyBorder="1" applyAlignment="1">
      <alignment horizontal="left" vertical="center"/>
    </xf>
    <xf numFmtId="0" fontId="11" fillId="0" borderId="21" xfId="1" applyBorder="1" applyAlignment="1">
      <alignment horizontal="left" vertical="center"/>
    </xf>
    <xf numFmtId="0" fontId="11" fillId="0" borderId="24" xfId="1" applyBorder="1" applyAlignment="1">
      <alignment horizontal="left" vertical="center"/>
    </xf>
    <xf numFmtId="0" fontId="3" fillId="0" borderId="1" xfId="2" applyFont="1" applyFill="1" applyBorder="1" applyAlignment="1">
      <alignment vertical="center"/>
    </xf>
    <xf numFmtId="0" fontId="5" fillId="0" borderId="64" xfId="0" applyFont="1" applyFill="1" applyBorder="1"/>
    <xf numFmtId="0" fontId="0" fillId="0" borderId="40" xfId="0" applyFont="1" applyFill="1" applyBorder="1" applyAlignment="1">
      <alignment horizontal="center"/>
    </xf>
    <xf numFmtId="0" fontId="0" fillId="0" borderId="20" xfId="0" applyFont="1" applyBorder="1" applyAlignment="1">
      <alignment horizontal="center"/>
    </xf>
    <xf numFmtId="0" fontId="5" fillId="0" borderId="51" xfId="0" applyFont="1" applyFill="1" applyBorder="1"/>
    <xf numFmtId="0" fontId="0" fillId="0" borderId="22" xfId="0" applyFont="1" applyBorder="1" applyAlignment="1">
      <alignment horizontal="center"/>
    </xf>
    <xf numFmtId="0" fontId="0" fillId="0" borderId="23" xfId="0" applyFont="1" applyBorder="1" applyAlignment="1">
      <alignment horizontal="center"/>
    </xf>
    <xf numFmtId="0" fontId="0" fillId="0" borderId="25" xfId="0" applyFont="1" applyBorder="1" applyAlignment="1">
      <alignment horizontal="center"/>
    </xf>
    <xf numFmtId="0" fontId="3" fillId="0" borderId="26" xfId="2" applyFont="1" applyFill="1" applyBorder="1" applyAlignment="1">
      <alignment vertical="center"/>
    </xf>
    <xf numFmtId="0" fontId="0" fillId="0" borderId="27" xfId="0" applyFont="1" applyBorder="1" applyAlignment="1">
      <alignment horizontal="center"/>
    </xf>
    <xf numFmtId="0" fontId="0" fillId="0" borderId="28" xfId="0" applyFont="1" applyBorder="1" applyAlignment="1">
      <alignment horizontal="center"/>
    </xf>
    <xf numFmtId="0" fontId="3" fillId="0" borderId="45" xfId="2" applyFont="1" applyBorder="1" applyAlignment="1">
      <alignment vertical="center"/>
    </xf>
    <xf numFmtId="0" fontId="3" fillId="0" borderId="67" xfId="2" applyFont="1" applyBorder="1" applyAlignment="1">
      <alignment vertical="center"/>
    </xf>
    <xf numFmtId="0" fontId="12" fillId="0" borderId="65" xfId="3" applyBorder="1" applyAlignment="1">
      <alignment vertical="center"/>
    </xf>
    <xf numFmtId="0" fontId="11" fillId="0" borderId="65" xfId="1" applyFill="1" applyBorder="1" applyAlignment="1">
      <alignment vertical="center"/>
    </xf>
    <xf numFmtId="0" fontId="5" fillId="0" borderId="20" xfId="0" applyFont="1" applyBorder="1" applyAlignment="1">
      <alignment horizontal="center"/>
    </xf>
    <xf numFmtId="0" fontId="0" fillId="0" borderId="33" xfId="0" applyFont="1" applyBorder="1" applyAlignment="1">
      <alignment horizontal="center"/>
    </xf>
    <xf numFmtId="0" fontId="0" fillId="0" borderId="43" xfId="0" applyFont="1" applyBorder="1" applyAlignment="1">
      <alignment horizontal="center"/>
    </xf>
    <xf numFmtId="0" fontId="0" fillId="0" borderId="44" xfId="0" applyFont="1" applyBorder="1" applyAlignment="1">
      <alignment horizontal="center"/>
    </xf>
    <xf numFmtId="0" fontId="5" fillId="0" borderId="25" xfId="0" applyFont="1" applyBorder="1" applyAlignment="1">
      <alignment horizontal="center"/>
    </xf>
    <xf numFmtId="0" fontId="11" fillId="0" borderId="20" xfId="1" applyBorder="1" applyAlignment="1">
      <alignment horizontal="center"/>
    </xf>
    <xf numFmtId="0" fontId="5" fillId="0" borderId="22" xfId="0" applyFont="1" applyBorder="1" applyAlignment="1">
      <alignment horizontal="center"/>
    </xf>
    <xf numFmtId="0" fontId="3" fillId="0" borderId="87" xfId="2" applyFont="1" applyFill="1" applyBorder="1" applyAlignment="1">
      <alignment vertical="center"/>
    </xf>
    <xf numFmtId="0" fontId="3" fillId="0" borderId="69" xfId="2" applyFont="1" applyFill="1" applyBorder="1" applyAlignment="1">
      <alignment vertical="center"/>
    </xf>
    <xf numFmtId="0" fontId="3" fillId="0" borderId="94" xfId="2" applyFont="1" applyFill="1" applyBorder="1" applyAlignment="1">
      <alignment vertical="center"/>
    </xf>
    <xf numFmtId="0" fontId="0" fillId="0" borderId="39" xfId="0" applyFont="1" applyBorder="1" applyAlignment="1">
      <alignment horizontal="center"/>
    </xf>
    <xf numFmtId="0" fontId="3" fillId="0" borderId="93" xfId="2" applyFont="1" applyFill="1" applyBorder="1" applyAlignment="1">
      <alignment vertical="center"/>
    </xf>
    <xf numFmtId="0" fontId="4" fillId="0" borderId="70" xfId="2" applyFont="1" applyFill="1" applyBorder="1" applyAlignment="1">
      <alignment vertical="center"/>
    </xf>
    <xf numFmtId="0" fontId="5" fillId="0" borderId="35" xfId="0" applyFont="1" applyBorder="1" applyAlignment="1">
      <alignment horizontal="center"/>
    </xf>
    <xf numFmtId="0" fontId="5" fillId="0" borderId="41" xfId="0" applyFont="1" applyBorder="1" applyAlignment="1">
      <alignment horizontal="center"/>
    </xf>
    <xf numFmtId="0" fontId="5" fillId="0" borderId="43" xfId="0" applyFont="1" applyBorder="1" applyAlignment="1">
      <alignment horizontal="center"/>
    </xf>
    <xf numFmtId="0" fontId="11" fillId="0" borderId="33" xfId="1" applyBorder="1" applyAlignment="1">
      <alignment horizontal="center"/>
    </xf>
    <xf numFmtId="0" fontId="5" fillId="0" borderId="42" xfId="0" applyFont="1" applyBorder="1" applyAlignment="1">
      <alignment horizontal="center"/>
    </xf>
    <xf numFmtId="0" fontId="5" fillId="0" borderId="40" xfId="0" applyFont="1" applyBorder="1" applyAlignment="1">
      <alignment horizontal="center"/>
    </xf>
    <xf numFmtId="0" fontId="5" fillId="0" borderId="24" xfId="0" applyFont="1" applyBorder="1" applyAlignment="1">
      <alignment horizontal="center"/>
    </xf>
    <xf numFmtId="0" fontId="11" fillId="0" borderId="24" xfId="1" applyBorder="1" applyAlignment="1">
      <alignment horizontal="center"/>
    </xf>
    <xf numFmtId="0" fontId="0" fillId="0" borderId="24" xfId="0" applyFont="1" applyBorder="1" applyAlignment="1">
      <alignment horizontal="center"/>
    </xf>
    <xf numFmtId="0" fontId="11" fillId="0" borderId="38" xfId="1" applyBorder="1" applyAlignment="1">
      <alignment horizontal="center"/>
    </xf>
    <xf numFmtId="0" fontId="0" fillId="0" borderId="38" xfId="0" applyFont="1" applyBorder="1" applyAlignment="1">
      <alignment horizontal="center"/>
    </xf>
    <xf numFmtId="0" fontId="0" fillId="0" borderId="26" xfId="0" applyFont="1" applyBorder="1" applyAlignment="1">
      <alignment horizontal="center"/>
    </xf>
    <xf numFmtId="0" fontId="5" fillId="0" borderId="21" xfId="0" applyFont="1" applyBorder="1" applyAlignment="1">
      <alignment horizontal="center"/>
    </xf>
    <xf numFmtId="0" fontId="5" fillId="0" borderId="23" xfId="0" applyFont="1" applyBorder="1" applyAlignment="1">
      <alignment horizontal="center"/>
    </xf>
    <xf numFmtId="0" fontId="13" fillId="0" borderId="20" xfId="1" applyFont="1" applyBorder="1" applyAlignment="1">
      <alignment horizontal="center"/>
    </xf>
    <xf numFmtId="0" fontId="2" fillId="15" borderId="42" xfId="0" applyFont="1" applyFill="1" applyBorder="1" applyAlignment="1">
      <alignment horizontal="center"/>
    </xf>
    <xf numFmtId="0" fontId="2" fillId="15" borderId="43" xfId="0" applyFont="1" applyFill="1" applyBorder="1" applyAlignment="1">
      <alignment horizontal="center"/>
    </xf>
    <xf numFmtId="0" fontId="2" fillId="15" borderId="44" xfId="0" applyFont="1" applyFill="1" applyBorder="1" applyAlignment="1">
      <alignment horizontal="center"/>
    </xf>
    <xf numFmtId="0" fontId="14" fillId="15" borderId="42" xfId="0" applyFont="1" applyFill="1" applyBorder="1" applyAlignment="1">
      <alignment horizontal="center"/>
    </xf>
    <xf numFmtId="0" fontId="14" fillId="15" borderId="43" xfId="0" applyFont="1" applyFill="1" applyBorder="1" applyAlignment="1">
      <alignment horizontal="center"/>
    </xf>
    <xf numFmtId="0" fontId="14" fillId="15" borderId="44" xfId="0" applyFont="1" applyFill="1" applyBorder="1" applyAlignment="1">
      <alignment horizontal="center"/>
    </xf>
    <xf numFmtId="0" fontId="13" fillId="0" borderId="25" xfId="1" applyFont="1" applyBorder="1" applyAlignment="1">
      <alignment horizontal="center"/>
    </xf>
    <xf numFmtId="0" fontId="11" fillId="0" borderId="25" xfId="1" applyBorder="1" applyAlignment="1">
      <alignment horizontal="center"/>
    </xf>
    <xf numFmtId="0" fontId="11" fillId="0" borderId="39" xfId="1" applyBorder="1" applyAlignment="1">
      <alignment horizontal="center"/>
    </xf>
    <xf numFmtId="0" fontId="11" fillId="0" borderId="26" xfId="1" applyBorder="1" applyAlignment="1">
      <alignment horizontal="center"/>
    </xf>
    <xf numFmtId="0" fontId="11" fillId="0" borderId="27" xfId="1" applyBorder="1" applyAlignment="1">
      <alignment horizontal="center"/>
    </xf>
    <xf numFmtId="0" fontId="5" fillId="0" borderId="44" xfId="0" applyFont="1" applyBorder="1" applyAlignment="1">
      <alignment horizontal="center"/>
    </xf>
    <xf numFmtId="0" fontId="13" fillId="0" borderId="27" xfId="1" applyFont="1" applyFill="1" applyBorder="1" applyAlignment="1">
      <alignment vertical="center" wrapText="1"/>
    </xf>
    <xf numFmtId="0" fontId="0" fillId="0" borderId="0" xfId="0" applyFont="1" applyAlignment="1"/>
    <xf numFmtId="0" fontId="3" fillId="0" borderId="60" xfId="2" applyFont="1" applyFill="1" applyBorder="1" applyAlignment="1">
      <alignment vertical="center"/>
    </xf>
    <xf numFmtId="0" fontId="5" fillId="0" borderId="48"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3" fillId="0" borderId="86" xfId="2" applyFont="1" applyFill="1" applyBorder="1" applyAlignment="1">
      <alignment vertical="center"/>
    </xf>
    <xf numFmtId="0" fontId="3" fillId="0" borderId="58" xfId="2" applyFont="1" applyFill="1" applyBorder="1" applyAlignment="1">
      <alignment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7" xfId="1" applyFont="1" applyFill="1" applyBorder="1" applyAlignment="1">
      <alignment horizontal="center" vertical="center"/>
    </xf>
    <xf numFmtId="0" fontId="10" fillId="0" borderId="28" xfId="1" applyFont="1" applyBorder="1" applyAlignment="1">
      <alignment horizontal="center" vertical="center"/>
    </xf>
    <xf numFmtId="0" fontId="10" fillId="0" borderId="47" xfId="1" applyFont="1" applyBorder="1" applyAlignment="1">
      <alignment horizontal="center" vertical="center"/>
    </xf>
    <xf numFmtId="0" fontId="10" fillId="0" borderId="65" xfId="1" applyFont="1" applyBorder="1" applyAlignment="1">
      <alignment horizontal="center" vertical="center"/>
    </xf>
    <xf numFmtId="0" fontId="10" fillId="0" borderId="65" xfId="1" applyFont="1" applyFill="1" applyBorder="1" applyAlignment="1">
      <alignment horizontal="center" vertical="center"/>
    </xf>
    <xf numFmtId="0" fontId="10" fillId="0" borderId="66" xfId="1" applyFont="1" applyBorder="1" applyAlignment="1">
      <alignment horizontal="center" vertical="center"/>
    </xf>
    <xf numFmtId="0" fontId="10" fillId="0" borderId="33" xfId="1" applyFont="1" applyBorder="1" applyAlignment="1">
      <alignment horizontal="center" vertical="center"/>
    </xf>
    <xf numFmtId="0" fontId="10" fillId="0" borderId="33" xfId="1" applyFont="1" applyFill="1" applyBorder="1" applyAlignment="1">
      <alignment horizontal="center" vertical="center"/>
    </xf>
    <xf numFmtId="0" fontId="11" fillId="0" borderId="34" xfId="1" applyFill="1" applyBorder="1" applyAlignment="1">
      <alignment vertical="center"/>
    </xf>
    <xf numFmtId="0" fontId="3" fillId="0" borderId="91" xfId="2" applyFont="1" applyBorder="1" applyAlignment="1">
      <alignment vertical="center"/>
    </xf>
    <xf numFmtId="0" fontId="12" fillId="0" borderId="47" xfId="3" applyBorder="1" applyAlignment="1">
      <alignment vertical="center"/>
    </xf>
    <xf numFmtId="0" fontId="11" fillId="0" borderId="20" xfId="1" applyBorder="1" applyAlignment="1">
      <alignment vertical="center"/>
    </xf>
    <xf numFmtId="0" fontId="19" fillId="0" borderId="47" xfId="3" applyFont="1" applyBorder="1" applyAlignment="1">
      <alignment horizontal="center" vertical="center"/>
    </xf>
    <xf numFmtId="0" fontId="19" fillId="0" borderId="42" xfId="3" applyFont="1" applyBorder="1" applyAlignment="1">
      <alignment horizontal="center" vertical="center"/>
    </xf>
    <xf numFmtId="0" fontId="19" fillId="0" borderId="43" xfId="3" applyFont="1" applyBorder="1" applyAlignment="1">
      <alignment horizontal="center" vertical="center"/>
    </xf>
    <xf numFmtId="0" fontId="19" fillId="0" borderId="44" xfId="3" applyFont="1" applyBorder="1" applyAlignment="1">
      <alignment horizontal="center" vertical="center"/>
    </xf>
    <xf numFmtId="0" fontId="10" fillId="0" borderId="22" xfId="1" applyFont="1" applyFill="1" applyBorder="1" applyAlignment="1">
      <alignment horizontal="center" vertical="center"/>
    </xf>
    <xf numFmtId="0" fontId="10" fillId="0" borderId="20" xfId="1" applyFont="1" applyFill="1" applyBorder="1" applyAlignment="1">
      <alignment horizontal="center" vertical="center"/>
    </xf>
    <xf numFmtId="0" fontId="19" fillId="0" borderId="65" xfId="3" applyFont="1" applyBorder="1" applyAlignment="1">
      <alignment horizontal="center" vertical="center"/>
    </xf>
    <xf numFmtId="0" fontId="19" fillId="0" borderId="66" xfId="3" applyFont="1" applyBorder="1" applyAlignment="1">
      <alignment horizontal="center" vertical="center"/>
    </xf>
    <xf numFmtId="0" fontId="19" fillId="0" borderId="46" xfId="3" applyFont="1" applyBorder="1" applyAlignment="1">
      <alignment horizontal="center" vertical="center"/>
    </xf>
    <xf numFmtId="0" fontId="19" fillId="0" borderId="34" xfId="3" applyFont="1" applyBorder="1" applyAlignment="1">
      <alignment horizontal="center" vertical="center"/>
    </xf>
    <xf numFmtId="0" fontId="10" fillId="0" borderId="34" xfId="1" applyFont="1" applyFill="1" applyBorder="1" applyAlignment="1">
      <alignment horizontal="center" vertical="center"/>
    </xf>
    <xf numFmtId="0" fontId="19" fillId="0" borderId="91" xfId="3" applyFont="1" applyBorder="1" applyAlignment="1">
      <alignment horizontal="center" vertical="center"/>
    </xf>
    <xf numFmtId="0" fontId="19" fillId="0" borderId="48" xfId="3" applyFont="1" applyBorder="1" applyAlignment="1">
      <alignment horizontal="center" vertical="center"/>
    </xf>
    <xf numFmtId="0" fontId="19" fillId="0" borderId="62" xfId="3" applyFont="1" applyBorder="1" applyAlignment="1">
      <alignment horizontal="center" vertical="center"/>
    </xf>
    <xf numFmtId="0" fontId="10" fillId="0" borderId="62" xfId="1" applyFont="1" applyFill="1" applyBorder="1" applyAlignment="1">
      <alignment horizontal="center" vertical="center"/>
    </xf>
    <xf numFmtId="0" fontId="19" fillId="0" borderId="63" xfId="3" applyFont="1" applyBorder="1" applyAlignment="1">
      <alignment horizontal="center" vertical="center"/>
    </xf>
    <xf numFmtId="0" fontId="0" fillId="0" borderId="0" xfId="0" applyFont="1" applyAlignment="1"/>
    <xf numFmtId="0" fontId="2" fillId="2" borderId="58" xfId="0" applyFont="1" applyFill="1" applyBorder="1" applyAlignment="1">
      <alignment horizontal="left"/>
    </xf>
    <xf numFmtId="0" fontId="2" fillId="2" borderId="88" xfId="0" applyFont="1" applyFill="1" applyBorder="1" applyAlignment="1">
      <alignment horizontal="left"/>
    </xf>
    <xf numFmtId="0" fontId="2" fillId="2" borderId="72" xfId="0" applyFont="1" applyFill="1" applyBorder="1" applyAlignment="1">
      <alignment horizontal="left"/>
    </xf>
    <xf numFmtId="0" fontId="0" fillId="0" borderId="58" xfId="0" applyFont="1" applyFill="1" applyBorder="1" applyAlignment="1">
      <alignment horizontal="center"/>
    </xf>
    <xf numFmtId="0" fontId="0" fillId="0" borderId="88" xfId="0" applyFont="1" applyFill="1" applyBorder="1" applyAlignment="1">
      <alignment horizontal="center"/>
    </xf>
    <xf numFmtId="0" fontId="0" fillId="0" borderId="72" xfId="0" applyFont="1" applyFill="1" applyBorder="1" applyAlignment="1">
      <alignment horizontal="center"/>
    </xf>
    <xf numFmtId="0" fontId="5" fillId="0" borderId="21" xfId="0" applyFont="1" applyFill="1" applyBorder="1" applyAlignment="1">
      <alignment horizontal="left" wrapText="1"/>
    </xf>
    <xf numFmtId="0" fontId="5" fillId="0" borderId="22" xfId="0" applyFont="1" applyFill="1" applyBorder="1" applyAlignment="1">
      <alignment horizontal="left" wrapText="1"/>
    </xf>
    <xf numFmtId="0" fontId="5" fillId="0" borderId="26" xfId="0" applyFont="1" applyFill="1" applyBorder="1" applyAlignment="1">
      <alignment horizontal="left" wrapText="1"/>
    </xf>
    <xf numFmtId="0" fontId="5" fillId="0" borderId="27" xfId="0" applyFont="1" applyFill="1" applyBorder="1" applyAlignment="1">
      <alignment horizontal="left" wrapText="1"/>
    </xf>
    <xf numFmtId="0" fontId="0" fillId="0" borderId="22" xfId="0" applyFont="1" applyFill="1" applyBorder="1" applyAlignment="1">
      <alignment horizontal="left" wrapText="1"/>
    </xf>
    <xf numFmtId="0" fontId="5" fillId="0" borderId="20" xfId="0" applyFont="1" applyFill="1" applyBorder="1" applyAlignment="1">
      <alignment horizontal="left"/>
    </xf>
    <xf numFmtId="0" fontId="0" fillId="0" borderId="27" xfId="0" applyFont="1" applyFill="1" applyBorder="1" applyAlignment="1">
      <alignment horizontal="left" wrapText="1"/>
    </xf>
    <xf numFmtId="0" fontId="10" fillId="0" borderId="33" xfId="1" quotePrefix="1" applyFont="1" applyBorder="1" applyAlignment="1">
      <alignment horizontal="center" vertical="center"/>
    </xf>
    <xf numFmtId="0" fontId="10" fillId="0" borderId="27" xfId="1" quotePrefix="1" applyFont="1" applyBorder="1" applyAlignment="1">
      <alignment horizontal="center" vertical="center"/>
    </xf>
    <xf numFmtId="0" fontId="3" fillId="0" borderId="64" xfId="2" applyFont="1" applyBorder="1" applyAlignment="1">
      <alignment vertical="center"/>
    </xf>
    <xf numFmtId="0" fontId="10" fillId="0" borderId="38" xfId="1" quotePrefix="1" applyFont="1" applyBorder="1" applyAlignment="1">
      <alignment horizontal="center" vertical="center"/>
    </xf>
    <xf numFmtId="0" fontId="10" fillId="0" borderId="26" xfId="1" quotePrefix="1" applyFont="1" applyBorder="1" applyAlignment="1">
      <alignment horizontal="center" vertical="center"/>
    </xf>
    <xf numFmtId="0" fontId="3" fillId="0" borderId="9" xfId="2" applyFont="1" applyBorder="1" applyAlignment="1">
      <alignment vertical="center"/>
    </xf>
    <xf numFmtId="0" fontId="10" fillId="0" borderId="39" xfId="1" quotePrefix="1" applyFont="1" applyBorder="1" applyAlignment="1">
      <alignment horizontal="center" vertical="center"/>
    </xf>
    <xf numFmtId="0" fontId="10" fillId="0" borderId="28" xfId="1" quotePrefix="1" applyFont="1" applyBorder="1" applyAlignment="1">
      <alignment horizontal="center" vertical="center"/>
    </xf>
    <xf numFmtId="0" fontId="3" fillId="0" borderId="58" xfId="2" applyFont="1" applyBorder="1" applyAlignment="1">
      <alignment vertical="center"/>
    </xf>
    <xf numFmtId="0" fontId="3" fillId="0" borderId="61" xfId="2" applyFont="1" applyBorder="1" applyAlignment="1">
      <alignment vertical="center"/>
    </xf>
    <xf numFmtId="0" fontId="12" fillId="0" borderId="65" xfId="3" applyFill="1" applyBorder="1" applyAlignment="1">
      <alignment vertical="center"/>
    </xf>
    <xf numFmtId="0" fontId="3" fillId="0" borderId="66" xfId="2" applyFont="1" applyBorder="1" applyAlignment="1">
      <alignment vertical="center"/>
    </xf>
    <xf numFmtId="0" fontId="11" fillId="0" borderId="21" xfId="1" applyFill="1" applyBorder="1" applyAlignment="1">
      <alignment horizontal="left" wrapText="1"/>
    </xf>
    <xf numFmtId="0" fontId="11" fillId="0" borderId="22" xfId="1" applyFill="1" applyBorder="1" applyAlignment="1">
      <alignment horizontal="left" wrapText="1"/>
    </xf>
    <xf numFmtId="0" fontId="11" fillId="0" borderId="24" xfId="1" applyFill="1" applyBorder="1" applyAlignment="1">
      <alignment horizontal="left" wrapText="1"/>
    </xf>
    <xf numFmtId="0" fontId="11" fillId="0" borderId="20" xfId="1" applyFill="1" applyBorder="1" applyAlignment="1">
      <alignment horizontal="left" wrapText="1"/>
    </xf>
    <xf numFmtId="0" fontId="11" fillId="0" borderId="38" xfId="1" applyFill="1" applyBorder="1" applyAlignment="1">
      <alignment horizontal="left" wrapText="1"/>
    </xf>
    <xf numFmtId="0" fontId="5" fillId="0" borderId="33" xfId="0" applyFont="1" applyFill="1" applyBorder="1" applyAlignment="1">
      <alignment horizontal="left" wrapText="1"/>
    </xf>
    <xf numFmtId="0" fontId="11" fillId="0" borderId="33" xfId="1" applyFill="1" applyBorder="1" applyAlignment="1">
      <alignment horizontal="left" wrapText="1"/>
    </xf>
    <xf numFmtId="0" fontId="5" fillId="0" borderId="39" xfId="0" applyFont="1" applyFill="1" applyBorder="1" applyAlignment="1">
      <alignment horizontal="left" wrapText="1"/>
    </xf>
    <xf numFmtId="0" fontId="0" fillId="0" borderId="0" xfId="0" applyFont="1" applyAlignment="1"/>
    <xf numFmtId="0" fontId="10" fillId="0" borderId="62" xfId="1" applyFont="1" applyBorder="1" applyAlignment="1">
      <alignment horizontal="center" vertical="center"/>
    </xf>
    <xf numFmtId="0" fontId="10" fillId="0" borderId="63" xfId="1" applyFont="1" applyBorder="1" applyAlignment="1">
      <alignment horizontal="center" vertical="center"/>
    </xf>
    <xf numFmtId="0" fontId="10" fillId="0" borderId="20" xfId="1" applyFont="1" applyBorder="1" applyAlignment="1">
      <alignment horizontal="center" vertical="center"/>
    </xf>
    <xf numFmtId="0" fontId="11" fillId="0" borderId="24" xfId="1" applyFont="1" applyBorder="1" applyAlignment="1">
      <alignment horizontal="left" vertical="center"/>
    </xf>
    <xf numFmtId="0" fontId="11" fillId="0" borderId="20" xfId="1" applyFont="1" applyBorder="1" applyAlignment="1">
      <alignment horizontal="left" vertical="center"/>
    </xf>
    <xf numFmtId="0" fontId="11" fillId="0" borderId="25" xfId="1" applyFont="1" applyBorder="1" applyAlignment="1">
      <alignment horizontal="left" vertical="center"/>
    </xf>
    <xf numFmtId="0" fontId="10" fillId="0" borderId="21" xfId="1" applyFont="1" applyBorder="1" applyAlignment="1">
      <alignment horizontal="center" vertical="center"/>
    </xf>
    <xf numFmtId="0" fontId="10" fillId="0" borderId="22" xfId="1" quotePrefix="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0" xfId="1" quotePrefix="1" applyFont="1" applyBorder="1" applyAlignment="1">
      <alignment horizontal="center" vertical="center"/>
    </xf>
    <xf numFmtId="0" fontId="10" fillId="0" borderId="25" xfId="1" applyFont="1" applyBorder="1" applyAlignment="1">
      <alignment horizontal="center" vertical="center"/>
    </xf>
    <xf numFmtId="0" fontId="13" fillId="0" borderId="22" xfId="1" applyFont="1" applyFill="1" applyBorder="1" applyAlignment="1">
      <alignment horizontal="left"/>
    </xf>
    <xf numFmtId="0" fontId="10" fillId="9" borderId="22" xfId="1" applyFont="1" applyFill="1" applyBorder="1" applyAlignment="1">
      <alignment horizontal="center" vertical="center"/>
    </xf>
    <xf numFmtId="0" fontId="10" fillId="9" borderId="23" xfId="1" applyFont="1" applyFill="1" applyBorder="1" applyAlignment="1">
      <alignment horizontal="center" vertical="center"/>
    </xf>
    <xf numFmtId="0" fontId="10" fillId="10" borderId="20" xfId="1" quotePrefix="1" applyFont="1" applyFill="1" applyBorder="1" applyAlignment="1">
      <alignment horizontal="center" vertical="center"/>
    </xf>
    <xf numFmtId="0" fontId="10" fillId="10" borderId="25" xfId="1" quotePrefix="1" applyFont="1" applyFill="1" applyBorder="1" applyAlignment="1">
      <alignment horizontal="center" vertical="center"/>
    </xf>
    <xf numFmtId="0" fontId="10" fillId="18" borderId="20" xfId="1" applyFont="1" applyFill="1" applyBorder="1" applyAlignment="1">
      <alignment horizontal="center" vertical="center"/>
    </xf>
    <xf numFmtId="0" fontId="11" fillId="0" borderId="22" xfId="1" applyFont="1" applyBorder="1" applyAlignment="1">
      <alignment horizontal="left" vertical="center"/>
    </xf>
    <xf numFmtId="0" fontId="0" fillId="0" borderId="0" xfId="0" applyFont="1" applyAlignment="1"/>
    <xf numFmtId="0" fontId="0" fillId="0" borderId="1" xfId="4" applyFont="1" applyAlignment="1">
      <alignment horizontal="left"/>
    </xf>
    <xf numFmtId="0" fontId="2" fillId="0" borderId="55" xfId="4" applyFont="1" applyBorder="1" applyAlignment="1">
      <alignment horizontal="left"/>
    </xf>
    <xf numFmtId="0" fontId="5" fillId="0" borderId="99" xfId="4" applyFont="1" applyBorder="1" applyAlignment="1">
      <alignment horizontal="left"/>
    </xf>
    <xf numFmtId="0" fontId="2" fillId="0" borderId="99" xfId="4" applyFont="1" applyBorder="1" applyAlignment="1">
      <alignment horizontal="left"/>
    </xf>
    <xf numFmtId="0" fontId="16" fillId="0" borderId="99" xfId="4" applyFont="1" applyBorder="1" applyAlignment="1">
      <alignment horizontal="left"/>
    </xf>
    <xf numFmtId="0" fontId="0" fillId="0" borderId="99" xfId="4" applyFont="1" applyBorder="1" applyAlignment="1">
      <alignment horizontal="left"/>
    </xf>
    <xf numFmtId="0" fontId="2" fillId="0" borderId="57" xfId="4" applyFont="1" applyBorder="1" applyAlignment="1">
      <alignment horizontal="left"/>
    </xf>
    <xf numFmtId="0" fontId="15" fillId="0" borderId="1" xfId="4" applyFont="1" applyAlignment="1">
      <alignment horizontal="left"/>
    </xf>
    <xf numFmtId="0" fontId="18" fillId="0" borderId="1" xfId="4" applyFont="1" applyAlignment="1">
      <alignment horizontal="left"/>
    </xf>
    <xf numFmtId="0" fontId="0" fillId="0" borderId="1" xfId="4" applyFont="1"/>
    <xf numFmtId="0" fontId="16" fillId="0" borderId="1" xfId="4" applyFont="1" applyAlignment="1">
      <alignment horizontal="left"/>
    </xf>
    <xf numFmtId="0" fontId="18" fillId="0" borderId="99" xfId="4" applyFont="1" applyBorder="1" applyAlignment="1">
      <alignment horizontal="left"/>
    </xf>
    <xf numFmtId="0" fontId="0" fillId="0" borderId="55" xfId="4" applyFont="1" applyBorder="1" applyAlignment="1">
      <alignment horizontal="center" vertical="center"/>
    </xf>
    <xf numFmtId="0" fontId="2" fillId="0" borderId="1" xfId="4" applyFont="1"/>
    <xf numFmtId="0" fontId="15" fillId="0" borderId="1" xfId="4" applyFont="1" applyAlignment="1">
      <alignment horizontal="left"/>
    </xf>
    <xf numFmtId="0" fontId="16" fillId="0" borderId="92" xfId="4" applyFont="1" applyBorder="1" applyAlignment="1">
      <alignment horizontal="center" vertical="center"/>
    </xf>
    <xf numFmtId="0" fontId="16" fillId="0" borderId="36" xfId="4" applyFont="1" applyBorder="1" applyAlignment="1">
      <alignment horizontal="center" vertical="center"/>
    </xf>
    <xf numFmtId="0" fontId="5" fillId="0" borderId="100" xfId="4" quotePrefix="1" applyFont="1" applyBorder="1" applyAlignment="1">
      <alignment horizontal="center" vertical="center"/>
    </xf>
    <xf numFmtId="0" fontId="0" fillId="0" borderId="1" xfId="4" applyFont="1" applyBorder="1"/>
    <xf numFmtId="0" fontId="2" fillId="0" borderId="1" xfId="4" applyFont="1" applyBorder="1"/>
    <xf numFmtId="0" fontId="0" fillId="0" borderId="1" xfId="0" applyFont="1" applyBorder="1" applyAlignment="1">
      <alignment horizontal="center" vertical="center"/>
    </xf>
    <xf numFmtId="0" fontId="0" fillId="0" borderId="1" xfId="4" applyFont="1" applyBorder="1" applyAlignment="1">
      <alignment horizontal="center" vertical="center"/>
    </xf>
    <xf numFmtId="0" fontId="16" fillId="0" borderId="1" xfId="4" applyFont="1" applyAlignment="1">
      <alignment horizontal="left"/>
    </xf>
    <xf numFmtId="0" fontId="0" fillId="0" borderId="1" xfId="4" applyFont="1" applyAlignment="1">
      <alignment horizontal="left"/>
    </xf>
    <xf numFmtId="0" fontId="0" fillId="0" borderId="0" xfId="0" applyFont="1" applyAlignment="1"/>
    <xf numFmtId="0" fontId="5" fillId="0" borderId="84" xfId="4" applyFont="1" applyBorder="1" applyAlignment="1">
      <alignment horizontal="center"/>
    </xf>
    <xf numFmtId="0" fontId="5" fillId="0" borderId="69" xfId="4" applyFont="1" applyBorder="1"/>
    <xf numFmtId="0" fontId="5" fillId="0" borderId="86" xfId="4" applyFont="1" applyBorder="1"/>
    <xf numFmtId="0" fontId="5" fillId="0" borderId="27" xfId="4" applyFont="1" applyBorder="1" applyAlignment="1">
      <alignment horizontal="center"/>
    </xf>
    <xf numFmtId="0" fontId="5" fillId="0" borderId="20" xfId="4" applyFont="1" applyBorder="1" applyAlignment="1">
      <alignment horizontal="center"/>
    </xf>
    <xf numFmtId="0" fontId="5" fillId="0" borderId="36" xfId="4" applyFont="1" applyBorder="1" applyAlignment="1">
      <alignment horizontal="center"/>
    </xf>
    <xf numFmtId="0" fontId="5" fillId="0" borderId="87" xfId="4" applyFont="1" applyBorder="1"/>
    <xf numFmtId="0" fontId="0" fillId="0" borderId="22" xfId="4" applyFont="1" applyBorder="1" applyAlignment="1">
      <alignment horizontal="center"/>
    </xf>
    <xf numFmtId="0" fontId="0" fillId="0" borderId="85" xfId="4" applyFont="1" applyBorder="1" applyAlignment="1">
      <alignment horizontal="center"/>
    </xf>
    <xf numFmtId="0" fontId="0" fillId="0" borderId="27" xfId="4" applyFont="1" applyBorder="1" applyAlignment="1">
      <alignment horizontal="center"/>
    </xf>
    <xf numFmtId="0" fontId="0" fillId="0" borderId="84" xfId="4" applyFont="1" applyBorder="1" applyAlignment="1">
      <alignment horizontal="center"/>
    </xf>
    <xf numFmtId="0" fontId="0" fillId="0" borderId="35" xfId="4" applyFont="1" applyBorder="1" applyAlignment="1">
      <alignment horizontal="center"/>
    </xf>
    <xf numFmtId="0" fontId="0" fillId="0" borderId="57" xfId="4" applyFont="1" applyBorder="1" applyAlignment="1">
      <alignment horizontal="center"/>
    </xf>
    <xf numFmtId="0" fontId="5" fillId="0" borderId="93" xfId="4" applyFont="1" applyBorder="1"/>
    <xf numFmtId="0" fontId="2" fillId="0" borderId="69" xfId="4" applyFont="1" applyBorder="1"/>
    <xf numFmtId="0" fontId="0" fillId="0" borderId="20" xfId="4" applyFont="1" applyBorder="1" applyAlignment="1">
      <alignment horizontal="center"/>
    </xf>
    <xf numFmtId="0" fontId="0" fillId="0" borderId="36" xfId="4" applyFont="1" applyBorder="1" applyAlignment="1">
      <alignment horizontal="center"/>
    </xf>
    <xf numFmtId="0" fontId="2" fillId="0" borderId="87" xfId="4" applyFont="1" applyBorder="1"/>
    <xf numFmtId="0" fontId="2" fillId="0" borderId="86" xfId="4" applyFont="1" applyBorder="1"/>
    <xf numFmtId="0" fontId="5" fillId="0" borderId="94" xfId="4" applyFont="1" applyBorder="1"/>
    <xf numFmtId="0" fontId="12" fillId="0" borderId="36" xfId="3" applyBorder="1" applyAlignment="1">
      <alignment vertical="center" wrapText="1"/>
    </xf>
    <xf numFmtId="0" fontId="11" fillId="0" borderId="20" xfId="5" applyBorder="1" applyAlignment="1"/>
    <xf numFmtId="0" fontId="11" fillId="0" borderId="36" xfId="5" applyBorder="1" applyAlignment="1"/>
    <xf numFmtId="0" fontId="11" fillId="0" borderId="22" xfId="5" applyBorder="1" applyAlignment="1"/>
    <xf numFmtId="0" fontId="11" fillId="0" borderId="85" xfId="5" applyBorder="1" applyAlignment="1"/>
    <xf numFmtId="0" fontId="2" fillId="0" borderId="43" xfId="4" applyFont="1" applyBorder="1"/>
    <xf numFmtId="0" fontId="2" fillId="0" borderId="74" xfId="4" applyFont="1" applyBorder="1"/>
    <xf numFmtId="0" fontId="2" fillId="0" borderId="70" xfId="4" applyFont="1" applyBorder="1"/>
    <xf numFmtId="0" fontId="18" fillId="0" borderId="1" xfId="4" applyFont="1" applyBorder="1" applyAlignment="1">
      <alignment horizontal="left"/>
    </xf>
    <xf numFmtId="0" fontId="0" fillId="0" borderId="1" xfId="4" applyFont="1" applyBorder="1" applyAlignment="1">
      <alignment horizontal="left"/>
    </xf>
    <xf numFmtId="0" fontId="16" fillId="0" borderId="20" xfId="0" applyFont="1" applyBorder="1" applyAlignment="1">
      <alignment horizontal="center" vertical="center"/>
    </xf>
    <xf numFmtId="0" fontId="0" fillId="0" borderId="54" xfId="4" applyFont="1" applyBorder="1" applyAlignment="1">
      <alignment horizontal="center" vertical="center"/>
    </xf>
    <xf numFmtId="0" fontId="2" fillId="0" borderId="1" xfId="0" applyFont="1" applyBorder="1" applyAlignment="1"/>
    <xf numFmtId="0" fontId="5" fillId="0" borderId="1" xfId="4" applyFont="1" applyBorder="1" applyAlignment="1">
      <alignment horizontal="left"/>
    </xf>
    <xf numFmtId="0" fontId="5" fillId="0" borderId="1" xfId="0" applyFont="1" applyBorder="1" applyAlignment="1">
      <alignment horizontal="center" vertical="center"/>
    </xf>
    <xf numFmtId="0" fontId="5" fillId="0" borderId="1" xfId="4" applyFont="1" applyBorder="1" applyAlignment="1">
      <alignment horizontal="center" vertical="center"/>
    </xf>
    <xf numFmtId="0" fontId="16" fillId="0" borderId="20" xfId="0" applyFont="1" applyBorder="1" applyAlignment="1">
      <alignment horizontal="center"/>
    </xf>
    <xf numFmtId="0" fontId="2" fillId="0" borderId="1" xfId="4" applyFont="1" applyBorder="1" applyAlignment="1">
      <alignment horizontal="left"/>
    </xf>
    <xf numFmtId="0" fontId="3" fillId="0" borderId="68" xfId="2" applyFont="1" applyBorder="1" applyAlignment="1">
      <alignment vertical="center"/>
    </xf>
    <xf numFmtId="0" fontId="11" fillId="0" borderId="34" xfId="1" applyBorder="1" applyAlignment="1">
      <alignment vertical="center"/>
    </xf>
    <xf numFmtId="0" fontId="11" fillId="0" borderId="34" xfId="1" applyFill="1" applyBorder="1" applyAlignment="1"/>
    <xf numFmtId="0" fontId="3" fillId="0" borderId="34" xfId="2" applyFont="1" applyFill="1" applyBorder="1" applyAlignment="1">
      <alignment vertical="center"/>
    </xf>
    <xf numFmtId="0" fontId="11" fillId="0" borderId="34" xfId="1" applyFont="1" applyFill="1" applyBorder="1" applyAlignment="1">
      <alignment vertical="center"/>
    </xf>
    <xf numFmtId="0" fontId="10" fillId="0" borderId="91" xfId="2" applyFont="1" applyBorder="1" applyAlignment="1">
      <alignment vertical="center"/>
    </xf>
    <xf numFmtId="0" fontId="10" fillId="0" borderId="63" xfId="2" applyFont="1" applyBorder="1" applyAlignment="1">
      <alignment vertical="center"/>
    </xf>
    <xf numFmtId="0" fontId="19" fillId="0" borderId="34" xfId="3" applyFont="1" applyBorder="1" applyAlignment="1">
      <alignment vertical="center"/>
    </xf>
    <xf numFmtId="0" fontId="10" fillId="0" borderId="34" xfId="1" applyFont="1" applyFill="1" applyBorder="1" applyAlignment="1">
      <alignment vertical="center"/>
    </xf>
    <xf numFmtId="0" fontId="19" fillId="0" borderId="34" xfId="3" applyFont="1" applyFill="1" applyBorder="1" applyAlignment="1">
      <alignment vertical="center"/>
    </xf>
    <xf numFmtId="0" fontId="19" fillId="0" borderId="62" xfId="3" applyFont="1" applyBorder="1" applyAlignment="1">
      <alignment vertical="center"/>
    </xf>
    <xf numFmtId="0" fontId="10" fillId="0" borderId="62" xfId="1" applyFont="1" applyFill="1" applyBorder="1" applyAlignment="1">
      <alignment vertical="center"/>
    </xf>
    <xf numFmtId="0" fontId="19" fillId="0" borderId="62" xfId="3" applyFont="1" applyFill="1" applyBorder="1" applyAlignment="1">
      <alignment vertical="center"/>
    </xf>
    <xf numFmtId="0" fontId="10" fillId="0" borderId="34" xfId="2" applyFont="1" applyFill="1" applyBorder="1" applyAlignment="1">
      <alignment vertical="center"/>
    </xf>
    <xf numFmtId="0" fontId="10" fillId="0" borderId="62" xfId="2" applyFont="1" applyFill="1" applyBorder="1" applyAlignment="1">
      <alignment vertical="center"/>
    </xf>
    <xf numFmtId="0" fontId="10" fillId="0" borderId="34" xfId="1" quotePrefix="1" applyFont="1" applyFill="1" applyBorder="1" applyAlignment="1">
      <alignment vertical="center"/>
    </xf>
    <xf numFmtId="0" fontId="0" fillId="0" borderId="101" xfId="0" applyFont="1" applyFill="1" applyBorder="1" applyAlignment="1">
      <alignment horizontal="center"/>
    </xf>
    <xf numFmtId="0" fontId="0" fillId="9" borderId="102" xfId="0" applyFont="1" applyFill="1" applyBorder="1"/>
    <xf numFmtId="0" fontId="0" fillId="9" borderId="101" xfId="0" applyFont="1" applyFill="1" applyBorder="1"/>
    <xf numFmtId="0" fontId="0" fillId="0" borderId="103" xfId="0" applyFont="1" applyFill="1" applyBorder="1" applyAlignment="1">
      <alignment horizontal="center"/>
    </xf>
    <xf numFmtId="0" fontId="0" fillId="0" borderId="104" xfId="0" applyFont="1" applyFill="1" applyBorder="1" applyAlignment="1">
      <alignment horizontal="center"/>
    </xf>
    <xf numFmtId="0" fontId="0" fillId="0" borderId="105" xfId="0" applyFont="1" applyFill="1" applyBorder="1" applyAlignment="1">
      <alignment horizontal="center"/>
    </xf>
    <xf numFmtId="0" fontId="0" fillId="0" borderId="106" xfId="0" applyFont="1" applyFill="1" applyBorder="1" applyAlignment="1">
      <alignment horizontal="center"/>
    </xf>
    <xf numFmtId="3" fontId="0" fillId="0" borderId="101" xfId="0" applyNumberFormat="1" applyFont="1" applyFill="1" applyBorder="1" applyAlignment="1">
      <alignment horizontal="center"/>
    </xf>
    <xf numFmtId="0" fontId="0" fillId="0" borderId="42" xfId="0" applyFont="1" applyFill="1" applyBorder="1" applyAlignment="1">
      <alignment horizontal="center"/>
    </xf>
    <xf numFmtId="0" fontId="0" fillId="20" borderId="43" xfId="0" applyFont="1" applyFill="1" applyBorder="1" applyAlignment="1">
      <alignment horizontal="center"/>
    </xf>
    <xf numFmtId="0" fontId="0" fillId="20" borderId="44" xfId="0" applyFont="1" applyFill="1" applyBorder="1" applyAlignment="1">
      <alignment horizontal="center"/>
    </xf>
    <xf numFmtId="0" fontId="7" fillId="20" borderId="34" xfId="0" applyFont="1" applyFill="1" applyBorder="1" applyAlignment="1">
      <alignment horizontal="left"/>
    </xf>
    <xf numFmtId="0" fontId="7" fillId="20" borderId="91" xfId="0" applyFont="1" applyFill="1" applyBorder="1" applyAlignment="1">
      <alignment horizontal="left"/>
    </xf>
    <xf numFmtId="0" fontId="0" fillId="0" borderId="107" xfId="0" applyFont="1" applyFill="1" applyBorder="1" applyAlignment="1">
      <alignment horizontal="center"/>
    </xf>
    <xf numFmtId="0" fontId="0" fillId="20" borderId="107" xfId="0" applyFont="1" applyFill="1" applyBorder="1" applyAlignment="1">
      <alignment horizontal="center"/>
    </xf>
    <xf numFmtId="0" fontId="0" fillId="20" borderId="108" xfId="0" applyFont="1" applyFill="1" applyBorder="1" applyAlignment="1">
      <alignment horizontal="center"/>
    </xf>
    <xf numFmtId="0" fontId="5" fillId="20" borderId="34" xfId="0" applyFont="1" applyFill="1" applyBorder="1" applyAlignment="1">
      <alignment horizontal="left" vertical="center" wrapText="1"/>
    </xf>
    <xf numFmtId="0" fontId="5" fillId="20" borderId="91" xfId="0" applyFont="1" applyFill="1" applyBorder="1" applyAlignment="1">
      <alignment horizontal="left" vertical="center" wrapText="1"/>
    </xf>
    <xf numFmtId="0" fontId="7" fillId="20" borderId="34" xfId="0" applyFont="1" applyFill="1" applyBorder="1" applyAlignment="1">
      <alignment horizontal="center"/>
    </xf>
    <xf numFmtId="0" fontId="7" fillId="20" borderId="91" xfId="0" applyFont="1" applyFill="1" applyBorder="1" applyAlignment="1">
      <alignment horizontal="center"/>
    </xf>
    <xf numFmtId="0" fontId="0" fillId="0" borderId="109" xfId="0" applyFont="1" applyFill="1" applyBorder="1" applyAlignment="1">
      <alignment horizontal="center"/>
    </xf>
    <xf numFmtId="0" fontId="0" fillId="20" borderId="109" xfId="0" applyFont="1" applyFill="1" applyBorder="1" applyAlignment="1">
      <alignment horizontal="center"/>
    </xf>
    <xf numFmtId="0" fontId="0" fillId="20" borderId="110" xfId="0" applyFont="1" applyFill="1" applyBorder="1" applyAlignment="1">
      <alignment horizontal="center"/>
    </xf>
    <xf numFmtId="0" fontId="0" fillId="0" borderId="109" xfId="0" applyFont="1" applyFill="1" applyBorder="1" applyAlignment="1">
      <alignment horizontal="left"/>
    </xf>
    <xf numFmtId="0" fontId="0" fillId="20" borderId="109" xfId="0" applyFont="1" applyFill="1" applyBorder="1" applyAlignment="1">
      <alignment horizontal="left"/>
    </xf>
    <xf numFmtId="0" fontId="0" fillId="20" borderId="110" xfId="0" applyFont="1" applyFill="1" applyBorder="1" applyAlignment="1">
      <alignment horizontal="left"/>
    </xf>
    <xf numFmtId="0" fontId="0" fillId="20" borderId="34" xfId="0" applyFont="1" applyFill="1" applyBorder="1" applyAlignment="1">
      <alignment horizontal="center"/>
    </xf>
    <xf numFmtId="0" fontId="0" fillId="20" borderId="91" xfId="0" applyFont="1" applyFill="1" applyBorder="1" applyAlignment="1">
      <alignment horizontal="center"/>
    </xf>
    <xf numFmtId="0" fontId="11" fillId="9" borderId="43" xfId="1" applyFill="1" applyBorder="1"/>
    <xf numFmtId="0" fontId="0" fillId="9" borderId="111" xfId="0" applyFont="1" applyFill="1" applyBorder="1" applyAlignment="1">
      <alignment horizontal="center"/>
    </xf>
    <xf numFmtId="0" fontId="0" fillId="9" borderId="44" xfId="0" applyFont="1" applyFill="1" applyBorder="1" applyAlignment="1">
      <alignment horizontal="center"/>
    </xf>
    <xf numFmtId="0" fontId="0" fillId="14" borderId="112" xfId="0" applyFont="1" applyFill="1" applyBorder="1" applyAlignment="1">
      <alignment horizontal="center"/>
    </xf>
    <xf numFmtId="0" fontId="0" fillId="14" borderId="113" xfId="0" applyFont="1" applyFill="1" applyBorder="1" applyAlignment="1">
      <alignment horizontal="center"/>
    </xf>
    <xf numFmtId="0" fontId="0" fillId="8" borderId="20" xfId="0" applyFont="1" applyFill="1" applyBorder="1" applyAlignment="1">
      <alignment horizontal="center"/>
    </xf>
    <xf numFmtId="0" fontId="0" fillId="8" borderId="25" xfId="0" applyFont="1" applyFill="1" applyBorder="1" applyAlignment="1">
      <alignment horizontal="center"/>
    </xf>
    <xf numFmtId="0" fontId="0" fillId="8" borderId="22" xfId="0" applyFont="1" applyFill="1" applyBorder="1" applyAlignment="1">
      <alignment horizontal="center"/>
    </xf>
    <xf numFmtId="0" fontId="0" fillId="8" borderId="23" xfId="0" applyFont="1" applyFill="1" applyBorder="1" applyAlignment="1">
      <alignment horizontal="center"/>
    </xf>
    <xf numFmtId="0" fontId="0" fillId="8" borderId="27" xfId="0" applyFont="1" applyFill="1" applyBorder="1" applyAlignment="1">
      <alignment horizontal="center"/>
    </xf>
    <xf numFmtId="0" fontId="0" fillId="8" borderId="28" xfId="0" applyFont="1" applyFill="1" applyBorder="1" applyAlignment="1">
      <alignment horizontal="center"/>
    </xf>
    <xf numFmtId="0" fontId="0" fillId="14" borderId="114" xfId="0" applyFont="1" applyFill="1" applyBorder="1" applyAlignment="1">
      <alignment horizontal="center"/>
    </xf>
    <xf numFmtId="0" fontId="0" fillId="14" borderId="115" xfId="0" applyFont="1" applyFill="1" applyBorder="1" applyAlignment="1">
      <alignment horizontal="center"/>
    </xf>
    <xf numFmtId="0" fontId="0" fillId="14" borderId="116" xfId="0" applyFont="1" applyFill="1" applyBorder="1" applyAlignment="1">
      <alignment horizontal="center"/>
    </xf>
    <xf numFmtId="0" fontId="0" fillId="14" borderId="117" xfId="0" applyFont="1" applyFill="1" applyBorder="1" applyAlignment="1">
      <alignment horizontal="center"/>
    </xf>
    <xf numFmtId="0" fontId="0" fillId="14" borderId="43" xfId="0" applyFont="1" applyFill="1" applyBorder="1" applyAlignment="1">
      <alignment horizontal="center"/>
    </xf>
    <xf numFmtId="0" fontId="0" fillId="14" borderId="44" xfId="0" applyFont="1" applyFill="1" applyBorder="1" applyAlignment="1">
      <alignment horizontal="center"/>
    </xf>
    <xf numFmtId="0" fontId="0" fillId="14" borderId="62" xfId="0" applyFont="1" applyFill="1" applyBorder="1" applyAlignment="1">
      <alignment horizontal="center"/>
    </xf>
    <xf numFmtId="0" fontId="0" fillId="14" borderId="63" xfId="0" applyFont="1" applyFill="1" applyBorder="1" applyAlignment="1">
      <alignment horizontal="center"/>
    </xf>
    <xf numFmtId="3" fontId="0" fillId="14" borderId="43" xfId="0" applyNumberFormat="1" applyFont="1" applyFill="1" applyBorder="1" applyAlignment="1">
      <alignment horizontal="center"/>
    </xf>
    <xf numFmtId="3" fontId="0" fillId="14" borderId="44" xfId="0" applyNumberFormat="1" applyFont="1" applyFill="1" applyBorder="1" applyAlignment="1">
      <alignment horizontal="center"/>
    </xf>
    <xf numFmtId="0" fontId="2" fillId="0" borderId="45" xfId="4" applyFont="1" applyBorder="1"/>
    <xf numFmtId="0" fontId="0" fillId="0" borderId="55" xfId="4" applyFont="1" applyBorder="1" applyAlignment="1">
      <alignment horizontal="center"/>
    </xf>
    <xf numFmtId="0" fontId="0" fillId="0" borderId="34" xfId="4" applyFont="1" applyBorder="1" applyAlignment="1">
      <alignment horizontal="center"/>
    </xf>
    <xf numFmtId="0" fontId="5" fillId="0" borderId="45" xfId="4" applyFont="1" applyBorder="1"/>
    <xf numFmtId="0" fontId="5" fillId="0" borderId="55" xfId="4" applyFont="1" applyBorder="1" applyAlignment="1">
      <alignment horizontal="center"/>
    </xf>
    <xf numFmtId="0" fontId="5" fillId="0" borderId="67" xfId="4" applyFont="1" applyBorder="1"/>
    <xf numFmtId="0" fontId="5" fillId="0" borderId="118" xfId="4" applyFont="1" applyBorder="1" applyAlignment="1">
      <alignment horizontal="center"/>
    </xf>
    <xf numFmtId="0" fontId="0" fillId="0" borderId="65" xfId="4" applyFont="1" applyBorder="1" applyAlignment="1">
      <alignment horizontal="center"/>
    </xf>
    <xf numFmtId="0" fontId="5" fillId="0" borderId="68" xfId="4" applyFont="1" applyBorder="1"/>
    <xf numFmtId="0" fontId="0" fillId="0" borderId="119" xfId="4" applyFont="1" applyBorder="1" applyAlignment="1">
      <alignment horizontal="center"/>
    </xf>
    <xf numFmtId="0" fontId="0" fillId="0" borderId="62" xfId="4" applyFont="1" applyBorder="1" applyAlignment="1">
      <alignment horizontal="center"/>
    </xf>
    <xf numFmtId="0" fontId="5" fillId="0" borderId="119" xfId="4" applyFont="1" applyBorder="1" applyAlignment="1">
      <alignment horizontal="center"/>
    </xf>
    <xf numFmtId="0" fontId="0" fillId="0" borderId="118" xfId="4" applyFont="1" applyBorder="1" applyAlignment="1">
      <alignment horizontal="center"/>
    </xf>
    <xf numFmtId="0" fontId="2" fillId="0" borderId="67" xfId="4" applyFont="1" applyBorder="1"/>
    <xf numFmtId="0" fontId="2" fillId="0" borderId="68" xfId="4" applyFont="1" applyBorder="1"/>
    <xf numFmtId="0" fontId="5" fillId="0" borderId="34" xfId="4" applyFont="1" applyBorder="1" applyAlignment="1">
      <alignment horizontal="center"/>
    </xf>
    <xf numFmtId="0" fontId="0" fillId="3" borderId="58" xfId="0" applyFont="1" applyFill="1" applyBorder="1" applyAlignment="1">
      <alignment horizontal="center"/>
    </xf>
    <xf numFmtId="0" fontId="0" fillId="3" borderId="88" xfId="0" applyFont="1" applyFill="1" applyBorder="1" applyAlignment="1">
      <alignment horizontal="center"/>
    </xf>
    <xf numFmtId="0" fontId="0" fillId="3" borderId="72" xfId="0" applyFont="1" applyFill="1" applyBorder="1" applyAlignment="1">
      <alignment horizontal="center"/>
    </xf>
    <xf numFmtId="0" fontId="0" fillId="4" borderId="64" xfId="0" applyFont="1" applyFill="1" applyBorder="1" applyAlignment="1">
      <alignment horizontal="center"/>
    </xf>
    <xf numFmtId="0" fontId="0" fillId="4" borderId="1" xfId="0" applyFont="1" applyFill="1" applyBorder="1" applyAlignment="1">
      <alignment horizontal="center"/>
    </xf>
    <xf numFmtId="0" fontId="0" fillId="4" borderId="95" xfId="0" applyFont="1" applyFill="1" applyBorder="1" applyAlignment="1">
      <alignment horizontal="center"/>
    </xf>
    <xf numFmtId="0" fontId="0" fillId="22" borderId="61" xfId="0" applyFont="1" applyFill="1" applyBorder="1" applyAlignment="1">
      <alignment horizontal="center"/>
    </xf>
    <xf numFmtId="0" fontId="0" fillId="22" borderId="96" xfId="0" applyFont="1" applyFill="1" applyBorder="1" applyAlignment="1">
      <alignment horizontal="center"/>
    </xf>
    <xf numFmtId="0" fontId="0" fillId="22" borderId="97" xfId="0" applyFont="1" applyFill="1" applyBorder="1" applyAlignment="1">
      <alignment horizontal="center"/>
    </xf>
    <xf numFmtId="0" fontId="0" fillId="23" borderId="64" xfId="0" applyFont="1" applyFill="1" applyBorder="1" applyAlignment="1">
      <alignment horizontal="center"/>
    </xf>
    <xf numFmtId="0" fontId="0" fillId="23" borderId="1" xfId="0" applyFont="1" applyFill="1" applyBorder="1" applyAlignment="1">
      <alignment horizontal="center"/>
    </xf>
    <xf numFmtId="0" fontId="0" fillId="23" borderId="95" xfId="0" applyFont="1" applyFill="1" applyBorder="1" applyAlignment="1">
      <alignment horizontal="center"/>
    </xf>
    <xf numFmtId="0" fontId="0" fillId="22" borderId="9" xfId="0" applyFont="1" applyFill="1" applyBorder="1" applyAlignment="1">
      <alignment horizontal="center" wrapText="1"/>
    </xf>
    <xf numFmtId="0" fontId="0" fillId="22" borderId="10" xfId="0" applyFont="1" applyFill="1" applyBorder="1" applyAlignment="1">
      <alignment horizontal="center" wrapText="1"/>
    </xf>
    <xf numFmtId="0" fontId="0" fillId="22" borderId="11" xfId="0" applyFont="1" applyFill="1" applyBorder="1" applyAlignment="1">
      <alignment horizontal="center" wrapText="1"/>
    </xf>
    <xf numFmtId="0" fontId="3" fillId="0" borderId="1" xfId="0" applyFont="1" applyBorder="1"/>
    <xf numFmtId="0" fontId="0" fillId="0" borderId="64" xfId="0" applyFont="1" applyBorder="1" applyAlignment="1"/>
    <xf numFmtId="0" fontId="3" fillId="4" borderId="64" xfId="0" applyFont="1" applyFill="1" applyBorder="1" applyAlignment="1">
      <alignment horizontal="left"/>
    </xf>
    <xf numFmtId="0" fontId="3" fillId="4" borderId="95" xfId="0" applyFont="1" applyFill="1" applyBorder="1" applyAlignment="1">
      <alignment horizontal="left"/>
    </xf>
    <xf numFmtId="0" fontId="0" fillId="5" borderId="64" xfId="0" applyFont="1" applyFill="1" applyBorder="1" applyAlignment="1"/>
    <xf numFmtId="0" fontId="0" fillId="5" borderId="1" xfId="0" applyFont="1" applyFill="1" applyBorder="1" applyAlignment="1"/>
    <xf numFmtId="0" fontId="0" fillId="5" borderId="95" xfId="0" applyFont="1" applyFill="1" applyBorder="1" applyAlignment="1"/>
    <xf numFmtId="0" fontId="0" fillId="5" borderId="64" xfId="0" applyFont="1" applyFill="1" applyBorder="1" applyAlignment="1">
      <alignment horizontal="left"/>
    </xf>
    <xf numFmtId="0" fontId="0" fillId="5" borderId="1" xfId="0" applyFont="1" applyFill="1" applyBorder="1" applyAlignment="1">
      <alignment horizontal="left"/>
    </xf>
    <xf numFmtId="0" fontId="0" fillId="5" borderId="95" xfId="0" applyFont="1" applyFill="1" applyBorder="1" applyAlignment="1">
      <alignment horizontal="left"/>
    </xf>
    <xf numFmtId="0" fontId="0" fillId="5" borderId="61" xfId="0" applyFont="1" applyFill="1" applyBorder="1" applyAlignment="1"/>
    <xf numFmtId="0" fontId="0" fillId="5" borderId="96" xfId="0" applyFont="1" applyFill="1" applyBorder="1" applyAlignment="1"/>
    <xf numFmtId="0" fontId="0" fillId="5" borderId="97" xfId="0" applyFont="1" applyFill="1" applyBorder="1" applyAlignment="1"/>
    <xf numFmtId="0" fontId="3" fillId="0" borderId="1" xfId="0" applyFont="1" applyBorder="1" applyAlignment="1">
      <alignment wrapText="1"/>
    </xf>
    <xf numFmtId="0" fontId="0" fillId="2" borderId="64" xfId="0" applyFont="1" applyFill="1" applyBorder="1" applyAlignment="1"/>
    <xf numFmtId="0" fontId="0" fillId="2" borderId="64" xfId="0" applyFont="1" applyFill="1" applyBorder="1"/>
    <xf numFmtId="0" fontId="0" fillId="2" borderId="64" xfId="0" applyFont="1" applyFill="1" applyBorder="1" applyAlignment="1">
      <alignment horizontal="left"/>
    </xf>
    <xf numFmtId="0" fontId="0" fillId="2" borderId="61" xfId="0" applyFont="1" applyFill="1" applyBorder="1" applyAlignment="1">
      <alignment horizontal="left" wrapText="1"/>
    </xf>
    <xf numFmtId="0" fontId="5" fillId="2" borderId="64" xfId="0" applyFont="1" applyFill="1" applyBorder="1" applyAlignment="1">
      <alignment horizontal="left"/>
    </xf>
    <xf numFmtId="0" fontId="0" fillId="24" borderId="58" xfId="0" applyFont="1" applyFill="1" applyBorder="1" applyAlignment="1">
      <alignment horizontal="center" wrapText="1"/>
    </xf>
    <xf numFmtId="0" fontId="5" fillId="24" borderId="88" xfId="0" applyFont="1" applyFill="1" applyBorder="1" applyAlignment="1">
      <alignment horizontal="center" wrapText="1"/>
    </xf>
    <xf numFmtId="0" fontId="0" fillId="24" borderId="88" xfId="0" applyFont="1" applyFill="1" applyBorder="1" applyAlignment="1">
      <alignment horizontal="center" wrapText="1"/>
    </xf>
    <xf numFmtId="0" fontId="0" fillId="24" borderId="72" xfId="0" applyFont="1" applyFill="1" applyBorder="1" applyAlignment="1">
      <alignment horizontal="center" wrapText="1"/>
    </xf>
    <xf numFmtId="0" fontId="0" fillId="24" borderId="61" xfId="0" applyFont="1" applyFill="1" applyBorder="1" applyAlignment="1">
      <alignment horizontal="center" wrapText="1"/>
    </xf>
    <xf numFmtId="0" fontId="5" fillId="24" borderId="96" xfId="0" applyFont="1" applyFill="1" applyBorder="1" applyAlignment="1">
      <alignment horizontal="center" wrapText="1"/>
    </xf>
    <xf numFmtId="0" fontId="0" fillId="24" borderId="96" xfId="0" applyFont="1" applyFill="1" applyBorder="1" applyAlignment="1">
      <alignment horizontal="center" wrapText="1"/>
    </xf>
    <xf numFmtId="0" fontId="0" fillId="24" borderId="97" xfId="0" applyFont="1" applyFill="1" applyBorder="1" applyAlignment="1">
      <alignment horizontal="center" wrapText="1"/>
    </xf>
    <xf numFmtId="0" fontId="3" fillId="0" borderId="33" xfId="2" applyFont="1" applyBorder="1" applyAlignment="1">
      <alignment vertical="center"/>
    </xf>
    <xf numFmtId="0" fontId="3" fillId="0" borderId="35" xfId="2" applyFont="1" applyBorder="1" applyAlignment="1">
      <alignment vertical="center"/>
    </xf>
    <xf numFmtId="0" fontId="3" fillId="0" borderId="35" xfId="2" applyFont="1" applyBorder="1" applyAlignment="1">
      <alignment vertical="center" wrapText="1"/>
    </xf>
    <xf numFmtId="0" fontId="5" fillId="0" borderId="27" xfId="0" applyFont="1" applyBorder="1" applyAlignment="1">
      <alignment horizontal="center"/>
    </xf>
    <xf numFmtId="0" fontId="0" fillId="0" borderId="21" xfId="0" applyFont="1" applyBorder="1" applyAlignment="1">
      <alignment horizontal="center"/>
    </xf>
    <xf numFmtId="0" fontId="0" fillId="0" borderId="1" xfId="4" applyFont="1" applyAlignment="1">
      <alignment horizontal="left"/>
    </xf>
    <xf numFmtId="0" fontId="16" fillId="0" borderId="1" xfId="4" applyFont="1" applyBorder="1" applyAlignment="1">
      <alignment horizontal="center" vertical="center"/>
    </xf>
    <xf numFmtId="0" fontId="2" fillId="0" borderId="58" xfId="4" applyFont="1" applyBorder="1" applyAlignment="1">
      <alignment horizontal="left"/>
    </xf>
    <xf numFmtId="0" fontId="5" fillId="0" borderId="88" xfId="4" applyFont="1" applyBorder="1" applyAlignment="1">
      <alignment horizontal="left"/>
    </xf>
    <xf numFmtId="0" fontId="2" fillId="0" borderId="88" xfId="4" applyFont="1" applyBorder="1" applyAlignment="1">
      <alignment horizontal="left"/>
    </xf>
    <xf numFmtId="0" fontId="22" fillId="0" borderId="88" xfId="3" applyFont="1" applyBorder="1" applyAlignment="1">
      <alignment wrapText="1"/>
    </xf>
    <xf numFmtId="0" fontId="0" fillId="0" borderId="88" xfId="4" applyFont="1" applyBorder="1" applyAlignment="1">
      <alignment horizontal="left"/>
    </xf>
    <xf numFmtId="0" fontId="2" fillId="0" borderId="118" xfId="4" applyFont="1" applyBorder="1" applyAlignment="1">
      <alignment horizontal="left"/>
    </xf>
    <xf numFmtId="0" fontId="0" fillId="0" borderId="72" xfId="4" applyFont="1" applyBorder="1" applyAlignment="1">
      <alignment horizontal="left"/>
    </xf>
    <xf numFmtId="0" fontId="2" fillId="0" borderId="64" xfId="4" applyFont="1" applyBorder="1" applyAlignment="1">
      <alignment horizontal="left"/>
    </xf>
    <xf numFmtId="0" fontId="0" fillId="0" borderId="95" xfId="4" applyFont="1" applyBorder="1" applyAlignment="1">
      <alignment horizontal="left"/>
    </xf>
    <xf numFmtId="0" fontId="2" fillId="0" borderId="59" xfId="4" applyFont="1" applyBorder="1" applyAlignment="1">
      <alignment horizontal="left"/>
    </xf>
    <xf numFmtId="0" fontId="16" fillId="0" borderId="64" xfId="4" applyFont="1" applyBorder="1" applyAlignment="1">
      <alignment horizontal="left"/>
    </xf>
    <xf numFmtId="0" fontId="16" fillId="0" borderId="1" xfId="4" applyFont="1" applyBorder="1" applyAlignment="1">
      <alignment horizontal="left"/>
    </xf>
    <xf numFmtId="0" fontId="15" fillId="0" borderId="1" xfId="4" applyFont="1" applyBorder="1" applyAlignment="1">
      <alignment horizontal="left"/>
    </xf>
    <xf numFmtId="0" fontId="15" fillId="0" borderId="95" xfId="4" applyFont="1" applyBorder="1" applyAlignment="1">
      <alignment horizontal="left"/>
    </xf>
    <xf numFmtId="0" fontId="0" fillId="0" borderId="64" xfId="4" applyFont="1" applyBorder="1" applyAlignment="1">
      <alignment horizontal="left"/>
    </xf>
    <xf numFmtId="0" fontId="16" fillId="0" borderId="1" xfId="4" applyFont="1" applyBorder="1"/>
    <xf numFmtId="0" fontId="15" fillId="0" borderId="1" xfId="4" applyFont="1" applyBorder="1"/>
    <xf numFmtId="0" fontId="18" fillId="0" borderId="64" xfId="4" applyFont="1" applyBorder="1" applyAlignment="1">
      <alignment horizontal="left"/>
    </xf>
    <xf numFmtId="0" fontId="18" fillId="0" borderId="95" xfId="4" applyFont="1" applyBorder="1" applyAlignment="1">
      <alignment horizontal="left"/>
    </xf>
    <xf numFmtId="0" fontId="15" fillId="0" borderId="64" xfId="4" applyFont="1" applyBorder="1" applyAlignment="1">
      <alignment horizontal="left"/>
    </xf>
    <xf numFmtId="0" fontId="16" fillId="0" borderId="95" xfId="4" applyFont="1" applyBorder="1" applyAlignment="1">
      <alignment horizontal="left"/>
    </xf>
    <xf numFmtId="0" fontId="0" fillId="0" borderId="61" xfId="4" applyFont="1" applyBorder="1" applyAlignment="1">
      <alignment horizontal="left"/>
    </xf>
    <xf numFmtId="0" fontId="0" fillId="0" borderId="96" xfId="4" applyFont="1" applyBorder="1" applyAlignment="1">
      <alignment horizontal="left"/>
    </xf>
    <xf numFmtId="0" fontId="0" fillId="0" borderId="97" xfId="4" applyFont="1" applyBorder="1" applyAlignment="1">
      <alignment horizontal="left"/>
    </xf>
    <xf numFmtId="0" fontId="22" fillId="0" borderId="88" xfId="3" applyFont="1" applyBorder="1" applyAlignment="1"/>
    <xf numFmtId="0" fontId="23" fillId="0" borderId="88" xfId="1" applyFont="1" applyFill="1" applyBorder="1" applyAlignment="1"/>
    <xf numFmtId="0" fontId="0" fillId="0" borderId="58" xfId="4" applyFont="1" applyBorder="1" applyAlignment="1">
      <alignment horizontal="left"/>
    </xf>
    <xf numFmtId="0" fontId="0" fillId="0" borderId="64" xfId="4" applyFont="1" applyBorder="1"/>
    <xf numFmtId="0" fontId="16" fillId="0" borderId="1" xfId="4" applyFont="1" applyBorder="1" applyAlignment="1">
      <alignment horizontal="left" vertical="center"/>
    </xf>
    <xf numFmtId="0" fontId="15" fillId="0" borderId="64" xfId="4" applyFont="1" applyBorder="1"/>
    <xf numFmtId="0" fontId="15" fillId="0" borderId="1" xfId="4" quotePrefix="1" applyFont="1" applyBorder="1" applyAlignment="1">
      <alignment horizontal="center" vertical="center"/>
    </xf>
    <xf numFmtId="0" fontId="5" fillId="0" borderId="64" xfId="4" applyFont="1" applyBorder="1"/>
    <xf numFmtId="0" fontId="2" fillId="0" borderId="1" xfId="4" applyFont="1" applyBorder="1" applyAlignment="1">
      <alignment horizontal="center" vertical="center"/>
    </xf>
    <xf numFmtId="0" fontId="5" fillId="0" borderId="1" xfId="4" applyFont="1" applyBorder="1"/>
    <xf numFmtId="0" fontId="5" fillId="0" borderId="1" xfId="4" quotePrefix="1" applyFont="1" applyBorder="1" applyAlignment="1">
      <alignment horizontal="center" vertical="center"/>
    </xf>
    <xf numFmtId="0" fontId="2" fillId="0" borderId="1" xfId="4" quotePrefix="1" applyFont="1" applyBorder="1" applyAlignment="1">
      <alignment horizontal="center" vertical="center"/>
    </xf>
    <xf numFmtId="0" fontId="0" fillId="0" borderId="61" xfId="4" applyFont="1" applyBorder="1"/>
    <xf numFmtId="0" fontId="0" fillId="0" borderId="96" xfId="4" applyFont="1" applyBorder="1"/>
    <xf numFmtId="0" fontId="0" fillId="0" borderId="58" xfId="4" applyFont="1" applyBorder="1"/>
    <xf numFmtId="0" fontId="0" fillId="0" borderId="88" xfId="4" applyFont="1" applyBorder="1"/>
    <xf numFmtId="0" fontId="2" fillId="0" borderId="1" xfId="4" applyFont="1" applyBorder="1" applyAlignment="1">
      <alignment horizontal="right"/>
    </xf>
    <xf numFmtId="0" fontId="2" fillId="0" borderId="1" xfId="0" applyFont="1" applyBorder="1" applyAlignment="1">
      <alignment horizontal="right" vertical="center"/>
    </xf>
    <xf numFmtId="0" fontId="16" fillId="0" borderId="1" xfId="0" applyFont="1" applyBorder="1" applyAlignment="1">
      <alignment horizontal="center"/>
    </xf>
    <xf numFmtId="0" fontId="15" fillId="0" borderId="64" xfId="0" applyFont="1" applyBorder="1" applyAlignment="1"/>
    <xf numFmtId="0" fontId="16" fillId="0" borderId="1" xfId="0" applyFont="1" applyFill="1" applyBorder="1" applyAlignment="1"/>
    <xf numFmtId="0" fontId="15" fillId="0" borderId="1" xfId="0" applyFont="1" applyBorder="1" applyAlignment="1"/>
    <xf numFmtId="0" fontId="16" fillId="0" borderId="1" xfId="0" applyFont="1" applyBorder="1" applyAlignment="1"/>
    <xf numFmtId="0" fontId="16" fillId="0" borderId="1" xfId="0" applyFont="1" applyBorder="1" applyAlignment="1">
      <alignment vertical="center"/>
    </xf>
    <xf numFmtId="0" fontId="0" fillId="0" borderId="61" xfId="0" applyFont="1" applyBorder="1" applyAlignment="1"/>
    <xf numFmtId="0" fontId="5" fillId="0" borderId="96" xfId="0" applyFont="1" applyBorder="1" applyAlignment="1"/>
    <xf numFmtId="0" fontId="0" fillId="0" borderId="96" xfId="0" applyFont="1" applyBorder="1" applyAlignment="1"/>
    <xf numFmtId="0" fontId="0" fillId="0" borderId="96" xfId="0" applyFont="1" applyBorder="1" applyAlignment="1">
      <alignment horizontal="left"/>
    </xf>
    <xf numFmtId="0" fontId="2" fillId="0" borderId="96" xfId="0" applyFont="1" applyBorder="1" applyAlignment="1"/>
    <xf numFmtId="0" fontId="0" fillId="0" borderId="58" xfId="0" applyFont="1" applyBorder="1" applyAlignment="1"/>
    <xf numFmtId="0" fontId="5" fillId="0" borderId="88" xfId="0" applyFont="1" applyBorder="1" applyAlignment="1"/>
    <xf numFmtId="0" fontId="0" fillId="0" borderId="88" xfId="0" applyFont="1" applyBorder="1" applyAlignment="1"/>
    <xf numFmtId="0" fontId="0" fillId="0" borderId="88" xfId="0" applyFont="1" applyBorder="1" applyAlignment="1">
      <alignment horizontal="left"/>
    </xf>
    <xf numFmtId="0" fontId="2" fillId="0" borderId="88" xfId="0" applyFont="1" applyBorder="1" applyAlignment="1"/>
    <xf numFmtId="0" fontId="16" fillId="0" borderId="64" xfId="0" applyFont="1" applyBorder="1" applyAlignment="1"/>
    <xf numFmtId="0" fontId="0" fillId="0" borderId="95" xfId="4" applyFont="1" applyBorder="1"/>
    <xf numFmtId="0" fontId="5" fillId="27" borderId="52" xfId="4" applyFont="1" applyFill="1" applyBorder="1" applyAlignment="1">
      <alignment vertical="center"/>
    </xf>
    <xf numFmtId="0" fontId="0" fillId="27" borderId="98" xfId="4" applyFont="1" applyFill="1" applyBorder="1" applyAlignment="1">
      <alignment vertical="center"/>
    </xf>
    <xf numFmtId="0" fontId="5" fillId="27" borderId="98" xfId="4" applyFont="1" applyFill="1" applyBorder="1" applyAlignment="1">
      <alignment vertical="center"/>
    </xf>
    <xf numFmtId="0" fontId="5" fillId="27" borderId="54" xfId="4" applyFont="1" applyFill="1" applyBorder="1" applyAlignment="1">
      <alignment vertical="center"/>
    </xf>
    <xf numFmtId="0" fontId="0" fillId="27" borderId="1" xfId="4" applyFont="1" applyFill="1" applyBorder="1" applyAlignment="1">
      <alignment vertical="center"/>
    </xf>
    <xf numFmtId="0" fontId="5" fillId="27" borderId="1" xfId="4" applyFont="1" applyFill="1" applyBorder="1" applyAlignment="1">
      <alignment vertical="center"/>
    </xf>
    <xf numFmtId="0" fontId="16" fillId="27" borderId="20" xfId="4" applyFont="1" applyFill="1" applyBorder="1" applyAlignment="1">
      <alignment horizontal="center" vertical="center"/>
    </xf>
    <xf numFmtId="0" fontId="5" fillId="27" borderId="56" xfId="4" applyFont="1" applyFill="1" applyBorder="1" applyAlignment="1">
      <alignment vertical="center"/>
    </xf>
    <xf numFmtId="0" fontId="0" fillId="27" borderId="99" xfId="4" applyFont="1" applyFill="1" applyBorder="1" applyAlignment="1">
      <alignment vertical="center"/>
    </xf>
    <xf numFmtId="0" fontId="16" fillId="27" borderId="56" xfId="0" applyFont="1" applyFill="1" applyBorder="1" applyAlignment="1">
      <alignment horizontal="center" vertical="center"/>
    </xf>
    <xf numFmtId="0" fontId="16" fillId="27" borderId="99" xfId="0" applyFont="1" applyFill="1" applyBorder="1" applyAlignment="1">
      <alignment horizontal="center" vertical="center"/>
    </xf>
    <xf numFmtId="0" fontId="16" fillId="27" borderId="57" xfId="0" applyFont="1" applyFill="1" applyBorder="1" applyAlignment="1">
      <alignment horizontal="center" vertical="center"/>
    </xf>
    <xf numFmtId="0" fontId="16" fillId="11" borderId="52" xfId="0" applyFont="1" applyFill="1" applyBorder="1" applyAlignment="1">
      <alignment horizontal="center" vertical="center"/>
    </xf>
    <xf numFmtId="0" fontId="16" fillId="11" borderId="98" xfId="0" applyFont="1" applyFill="1" applyBorder="1" applyAlignment="1">
      <alignment horizontal="center" vertical="center"/>
    </xf>
    <xf numFmtId="0" fontId="16" fillId="11" borderId="98" xfId="0" applyFont="1" applyFill="1" applyBorder="1" applyAlignment="1">
      <alignment vertical="center"/>
    </xf>
    <xf numFmtId="0" fontId="5" fillId="25" borderId="98" xfId="0" applyFont="1" applyFill="1" applyBorder="1" applyAlignment="1">
      <alignment horizontal="center" vertical="center"/>
    </xf>
    <xf numFmtId="0" fontId="15" fillId="25" borderId="98" xfId="0" applyFont="1" applyFill="1" applyBorder="1" applyAlignment="1">
      <alignment horizontal="center" vertical="center"/>
    </xf>
    <xf numFmtId="0" fontId="0" fillId="25" borderId="98" xfId="0" applyFont="1" applyFill="1" applyBorder="1" applyAlignment="1">
      <alignment vertical="center"/>
    </xf>
    <xf numFmtId="0" fontId="5" fillId="25" borderId="98" xfId="4" applyFont="1" applyFill="1" applyBorder="1" applyAlignment="1">
      <alignment horizontal="center" vertical="center"/>
    </xf>
    <xf numFmtId="0" fontId="0" fillId="25" borderId="53" xfId="0" applyFont="1" applyFill="1" applyBorder="1" applyAlignment="1">
      <alignment vertical="center"/>
    </xf>
    <xf numFmtId="0" fontId="5" fillId="25" borderId="99" xfId="0" applyFont="1" applyFill="1" applyBorder="1" applyAlignment="1">
      <alignment horizontal="center" vertical="center"/>
    </xf>
    <xf numFmtId="0" fontId="15" fillId="25" borderId="99" xfId="0" applyFont="1" applyFill="1" applyBorder="1" applyAlignment="1">
      <alignment horizontal="center" vertical="center"/>
    </xf>
    <xf numFmtId="0" fontId="0" fillId="25" borderId="99" xfId="0" applyFont="1" applyFill="1" applyBorder="1" applyAlignment="1">
      <alignment vertical="center"/>
    </xf>
    <xf numFmtId="0" fontId="5" fillId="25" borderId="99" xfId="4" applyFont="1" applyFill="1" applyBorder="1" applyAlignment="1">
      <alignment horizontal="center" vertical="center"/>
    </xf>
    <xf numFmtId="0" fontId="0" fillId="25" borderId="57" xfId="0" applyFont="1" applyFill="1" applyBorder="1" applyAlignment="1">
      <alignment vertical="center"/>
    </xf>
    <xf numFmtId="0" fontId="0" fillId="28" borderId="98" xfId="0" applyFont="1" applyFill="1" applyBorder="1" applyAlignment="1">
      <alignment horizontal="center" vertical="center"/>
    </xf>
    <xf numFmtId="0" fontId="0" fillId="28" borderId="53" xfId="0" applyFont="1" applyFill="1" applyBorder="1" applyAlignment="1">
      <alignment horizontal="center" vertical="center"/>
    </xf>
    <xf numFmtId="0" fontId="0" fillId="28" borderId="1" xfId="0" applyFont="1" applyFill="1" applyBorder="1" applyAlignment="1">
      <alignment horizontal="center" vertical="center"/>
    </xf>
    <xf numFmtId="0" fontId="0" fillId="28" borderId="55" xfId="0" applyFont="1" applyFill="1" applyBorder="1" applyAlignment="1">
      <alignment horizontal="center" vertical="center"/>
    </xf>
    <xf numFmtId="0" fontId="16" fillId="11" borderId="92" xfId="4" applyFont="1" applyFill="1" applyBorder="1" applyAlignment="1">
      <alignment horizontal="center" vertical="center"/>
    </xf>
    <xf numFmtId="0" fontId="16" fillId="11" borderId="100" xfId="4" applyFont="1" applyFill="1" applyBorder="1" applyAlignment="1">
      <alignment horizontal="center" vertical="center"/>
    </xf>
    <xf numFmtId="0" fontId="16" fillId="11" borderId="36" xfId="4" applyFont="1" applyFill="1" applyBorder="1" applyAlignment="1">
      <alignment horizontal="center" vertical="center"/>
    </xf>
    <xf numFmtId="0" fontId="16" fillId="11" borderId="20" xfId="4" applyFont="1" applyFill="1" applyBorder="1" applyAlignment="1">
      <alignment horizontal="center" vertical="center"/>
    </xf>
    <xf numFmtId="0" fontId="0" fillId="27" borderId="52" xfId="4" applyFont="1" applyFill="1" applyBorder="1" applyAlignment="1">
      <alignment horizontal="left"/>
    </xf>
    <xf numFmtId="0" fontId="0" fillId="27" borderId="98" xfId="4" applyFont="1" applyFill="1" applyBorder="1" applyAlignment="1">
      <alignment horizontal="left"/>
    </xf>
    <xf numFmtId="0" fontId="0" fillId="27" borderId="53" xfId="4" applyFont="1" applyFill="1" applyBorder="1" applyAlignment="1">
      <alignment horizontal="left"/>
    </xf>
    <xf numFmtId="0" fontId="0" fillId="27" borderId="54" xfId="4" applyFont="1" applyFill="1" applyBorder="1" applyAlignment="1">
      <alignment horizontal="left"/>
    </xf>
    <xf numFmtId="0" fontId="0" fillId="27" borderId="1" xfId="4" applyFont="1" applyFill="1" applyBorder="1" applyAlignment="1">
      <alignment horizontal="left"/>
    </xf>
    <xf numFmtId="0" fontId="0" fillId="27" borderId="55" xfId="4" applyFont="1" applyFill="1" applyBorder="1" applyAlignment="1">
      <alignment horizontal="left"/>
    </xf>
    <xf numFmtId="0" fontId="0" fillId="27" borderId="56" xfId="4" applyFont="1" applyFill="1" applyBorder="1" applyAlignment="1">
      <alignment horizontal="left"/>
    </xf>
    <xf numFmtId="0" fontId="0" fillId="27" borderId="99" xfId="4" applyFont="1" applyFill="1" applyBorder="1" applyAlignment="1">
      <alignment horizontal="left"/>
    </xf>
    <xf numFmtId="0" fontId="0" fillId="27" borderId="57" xfId="4" applyFont="1" applyFill="1" applyBorder="1" applyAlignment="1">
      <alignment horizontal="left"/>
    </xf>
    <xf numFmtId="0" fontId="0" fillId="11" borderId="98" xfId="4" applyFont="1" applyFill="1" applyBorder="1" applyAlignment="1">
      <alignment horizontal="left" vertical="center"/>
    </xf>
    <xf numFmtId="0" fontId="5" fillId="11" borderId="98" xfId="4" applyFont="1" applyFill="1" applyBorder="1" applyAlignment="1">
      <alignment horizontal="center" vertical="center"/>
    </xf>
    <xf numFmtId="0" fontId="15" fillId="11" borderId="98" xfId="4" applyFont="1" applyFill="1" applyBorder="1" applyAlignment="1">
      <alignment horizontal="center" vertical="center"/>
    </xf>
    <xf numFmtId="0" fontId="0" fillId="11" borderId="98" xfId="4" applyFont="1" applyFill="1" applyBorder="1" applyAlignment="1">
      <alignment horizontal="center" vertical="center"/>
    </xf>
    <xf numFmtId="0" fontId="15" fillId="11" borderId="53" xfId="4" applyFont="1" applyFill="1" applyBorder="1" applyAlignment="1">
      <alignment horizontal="center" vertical="center"/>
    </xf>
    <xf numFmtId="0" fontId="0" fillId="11" borderId="53" xfId="4" applyFont="1" applyFill="1" applyBorder="1" applyAlignment="1">
      <alignment horizontal="center" vertical="center"/>
    </xf>
    <xf numFmtId="0" fontId="0" fillId="11" borderId="1" xfId="4" applyFont="1" applyFill="1" applyBorder="1" applyAlignment="1">
      <alignment horizontal="left" vertical="center"/>
    </xf>
    <xf numFmtId="0" fontId="5" fillId="11" borderId="1" xfId="4" applyFont="1" applyFill="1" applyBorder="1" applyAlignment="1">
      <alignment horizontal="center" vertical="center"/>
    </xf>
    <xf numFmtId="0" fontId="15" fillId="11" borderId="1" xfId="4" applyFont="1" applyFill="1" applyBorder="1" applyAlignment="1">
      <alignment horizontal="center" vertical="center"/>
    </xf>
    <xf numFmtId="0" fontId="0" fillId="11" borderId="1" xfId="4" applyFont="1" applyFill="1" applyBorder="1" applyAlignment="1">
      <alignment horizontal="center" vertical="center"/>
    </xf>
    <xf numFmtId="0" fontId="0" fillId="11" borderId="55" xfId="4" applyFont="1" applyFill="1" applyBorder="1" applyAlignment="1">
      <alignment horizontal="center" vertical="center"/>
    </xf>
    <xf numFmtId="0" fontId="15" fillId="11" borderId="55" xfId="4" applyFont="1" applyFill="1" applyBorder="1" applyAlignment="1">
      <alignment horizontal="center" vertical="center"/>
    </xf>
    <xf numFmtId="0" fontId="5" fillId="11" borderId="99" xfId="4" applyFont="1" applyFill="1" applyBorder="1" applyAlignment="1">
      <alignment horizontal="center" vertical="center"/>
    </xf>
    <xf numFmtId="0" fontId="15" fillId="11" borderId="99" xfId="4" applyFont="1" applyFill="1" applyBorder="1" applyAlignment="1">
      <alignment horizontal="center" vertical="center"/>
    </xf>
    <xf numFmtId="0" fontId="0" fillId="11" borderId="99" xfId="4" applyFont="1" applyFill="1" applyBorder="1" applyAlignment="1">
      <alignment horizontal="center" vertical="center"/>
    </xf>
    <xf numFmtId="0" fontId="0" fillId="11" borderId="57" xfId="4" applyFont="1" applyFill="1" applyBorder="1" applyAlignment="1">
      <alignment horizontal="center" vertical="center"/>
    </xf>
    <xf numFmtId="0" fontId="0" fillId="26" borderId="98" xfId="4" applyFont="1" applyFill="1" applyBorder="1" applyAlignment="1">
      <alignment horizontal="left" vertical="center"/>
    </xf>
    <xf numFmtId="0" fontId="0" fillId="26" borderId="98" xfId="4" applyFont="1" applyFill="1" applyBorder="1" applyAlignment="1">
      <alignment horizontal="center" vertical="center"/>
    </xf>
    <xf numFmtId="0" fontId="0" fillId="26" borderId="1" xfId="4" applyFont="1" applyFill="1" applyBorder="1" applyAlignment="1">
      <alignment horizontal="left" vertical="center"/>
    </xf>
    <xf numFmtId="0" fontId="0" fillId="26" borderId="1" xfId="4" applyFont="1" applyFill="1" applyBorder="1" applyAlignment="1">
      <alignment horizontal="center" vertical="center"/>
    </xf>
    <xf numFmtId="0" fontId="0" fillId="26" borderId="99" xfId="4" applyFont="1" applyFill="1" applyBorder="1" applyAlignment="1">
      <alignment horizontal="center" vertical="center"/>
    </xf>
    <xf numFmtId="0" fontId="0" fillId="28" borderId="53" xfId="4" applyFont="1" applyFill="1" applyBorder="1" applyAlignment="1">
      <alignment horizontal="left" vertical="center"/>
    </xf>
    <xf numFmtId="0" fontId="0" fillId="28" borderId="55" xfId="4" applyFont="1" applyFill="1" applyBorder="1" applyAlignment="1">
      <alignment horizontal="left" vertical="center"/>
    </xf>
    <xf numFmtId="0" fontId="0" fillId="10" borderId="52" xfId="4" applyFont="1" applyFill="1" applyBorder="1" applyAlignment="1">
      <alignment horizontal="left" vertical="center"/>
    </xf>
    <xf numFmtId="0" fontId="0" fillId="10" borderId="98" xfId="4" applyFont="1" applyFill="1" applyBorder="1" applyAlignment="1">
      <alignment horizontal="left" vertical="center"/>
    </xf>
    <xf numFmtId="0" fontId="16" fillId="10" borderId="98" xfId="4" applyFont="1" applyFill="1" applyBorder="1" applyAlignment="1">
      <alignment horizontal="center" vertical="center"/>
    </xf>
    <xf numFmtId="0" fontId="0" fillId="10" borderId="54" xfId="4" applyFont="1" applyFill="1" applyBorder="1" applyAlignment="1">
      <alignment horizontal="left" vertical="center"/>
    </xf>
    <xf numFmtId="0" fontId="0" fillId="10" borderId="1" xfId="4" applyFont="1" applyFill="1" applyBorder="1" applyAlignment="1">
      <alignment horizontal="left" vertical="center"/>
    </xf>
    <xf numFmtId="0" fontId="16" fillId="10" borderId="1" xfId="4" applyFont="1" applyFill="1" applyBorder="1" applyAlignment="1">
      <alignment horizontal="center" vertical="center"/>
    </xf>
    <xf numFmtId="0" fontId="5" fillId="10" borderId="54" xfId="4" applyFont="1" applyFill="1" applyBorder="1" applyAlignment="1">
      <alignment horizontal="left" vertical="center"/>
    </xf>
    <xf numFmtId="0" fontId="0" fillId="10" borderId="56" xfId="4" applyFont="1" applyFill="1" applyBorder="1" applyAlignment="1">
      <alignment horizontal="left" vertical="center"/>
    </xf>
    <xf numFmtId="0" fontId="0" fillId="10" borderId="99" xfId="4" applyFont="1" applyFill="1" applyBorder="1" applyAlignment="1">
      <alignment horizontal="left" vertical="center"/>
    </xf>
    <xf numFmtId="0" fontId="16" fillId="10" borderId="99" xfId="4" applyFont="1" applyFill="1" applyBorder="1" applyAlignment="1">
      <alignment horizontal="center" vertical="center"/>
    </xf>
    <xf numFmtId="0" fontId="0" fillId="7" borderId="52" xfId="4" applyFont="1" applyFill="1" applyBorder="1" applyAlignment="1">
      <alignment horizontal="left" vertical="center"/>
    </xf>
    <xf numFmtId="0" fontId="0" fillId="7" borderId="98" xfId="4" applyFont="1" applyFill="1" applyBorder="1" applyAlignment="1">
      <alignment horizontal="left" vertical="center"/>
    </xf>
    <xf numFmtId="0" fontId="0" fillId="7" borderId="54" xfId="4" applyFont="1" applyFill="1" applyBorder="1" applyAlignment="1">
      <alignment horizontal="left" vertical="center"/>
    </xf>
    <xf numFmtId="0" fontId="0" fillId="7" borderId="1" xfId="4" applyFont="1" applyFill="1" applyBorder="1" applyAlignment="1">
      <alignment horizontal="left" vertical="center"/>
    </xf>
    <xf numFmtId="0" fontId="16" fillId="9" borderId="52" xfId="0" applyFont="1" applyFill="1" applyBorder="1" applyAlignment="1">
      <alignment horizontal="center" vertical="center"/>
    </xf>
    <xf numFmtId="0" fontId="16" fillId="9" borderId="56" xfId="0" applyFont="1" applyFill="1" applyBorder="1" applyAlignment="1">
      <alignment horizontal="center" vertical="center"/>
    </xf>
    <xf numFmtId="0" fontId="16" fillId="13" borderId="20" xfId="0" applyFont="1" applyFill="1" applyBorder="1" applyAlignment="1">
      <alignment horizontal="center"/>
    </xf>
    <xf numFmtId="0" fontId="16" fillId="9" borderId="20" xfId="0" applyFont="1" applyFill="1" applyBorder="1" applyAlignment="1">
      <alignment horizontal="center" vertical="center"/>
    </xf>
    <xf numFmtId="0" fontId="16" fillId="10" borderId="20" xfId="4" applyFont="1" applyFill="1" applyBorder="1" applyAlignment="1">
      <alignment horizontal="center" vertical="center"/>
    </xf>
    <xf numFmtId="0" fontId="2" fillId="0" borderId="99" xfId="4" applyFont="1" applyBorder="1"/>
    <xf numFmtId="0" fontId="0" fillId="26" borderId="100" xfId="4" applyFont="1" applyFill="1" applyBorder="1" applyAlignment="1">
      <alignment horizontal="left" vertical="center"/>
    </xf>
    <xf numFmtId="0" fontId="5" fillId="26" borderId="100" xfId="4" applyFont="1" applyFill="1" applyBorder="1" applyAlignment="1">
      <alignment horizontal="center" vertical="center"/>
    </xf>
    <xf numFmtId="0" fontId="15" fillId="26" borderId="36" xfId="4" applyFont="1" applyFill="1" applyBorder="1" applyAlignment="1">
      <alignment horizontal="center" vertical="center"/>
    </xf>
    <xf numFmtId="0" fontId="15" fillId="11" borderId="100" xfId="4" applyFont="1" applyFill="1" applyBorder="1" applyAlignment="1">
      <alignment horizontal="center" vertical="center"/>
    </xf>
    <xf numFmtId="0" fontId="0" fillId="11" borderId="100" xfId="4" applyFont="1" applyFill="1" applyBorder="1" applyAlignment="1">
      <alignment vertical="center"/>
    </xf>
    <xf numFmtId="0" fontId="0" fillId="11" borderId="100" xfId="4" applyFont="1" applyFill="1" applyBorder="1" applyAlignment="1">
      <alignment horizontal="left" vertical="center"/>
    </xf>
    <xf numFmtId="0" fontId="0" fillId="11" borderId="36" xfId="4" applyFont="1" applyFill="1" applyBorder="1" applyAlignment="1">
      <alignment vertical="center"/>
    </xf>
    <xf numFmtId="0" fontId="17" fillId="10" borderId="92" xfId="4" applyFont="1" applyFill="1" applyBorder="1" applyAlignment="1">
      <alignment vertical="center"/>
    </xf>
    <xf numFmtId="0" fontId="17" fillId="15" borderId="92" xfId="4" applyFont="1" applyFill="1" applyBorder="1" applyAlignment="1">
      <alignment horizontal="left" vertical="center"/>
    </xf>
    <xf numFmtId="0" fontId="10" fillId="0" borderId="22" xfId="1" applyFont="1" applyBorder="1" applyAlignment="1">
      <alignment horizontal="center" vertical="center"/>
    </xf>
    <xf numFmtId="0" fontId="5" fillId="0" borderId="39" xfId="0" applyFont="1" applyBorder="1" applyAlignment="1">
      <alignment horizontal="center"/>
    </xf>
    <xf numFmtId="0" fontId="10" fillId="0" borderId="24" xfId="1" applyFont="1" applyBorder="1" applyAlignment="1">
      <alignment horizontal="center"/>
    </xf>
    <xf numFmtId="0" fontId="10" fillId="0" borderId="20" xfId="1" applyFont="1" applyBorder="1" applyAlignment="1">
      <alignment horizontal="center"/>
    </xf>
    <xf numFmtId="0" fontId="10" fillId="0" borderId="24" xfId="0" applyFont="1" applyBorder="1" applyAlignment="1">
      <alignment horizontal="center"/>
    </xf>
    <xf numFmtId="0" fontId="10" fillId="0" borderId="38" xfId="0" applyFont="1" applyBorder="1" applyAlignment="1">
      <alignment horizontal="center"/>
    </xf>
    <xf numFmtId="0" fontId="16" fillId="0" borderId="1" xfId="4" applyFont="1" applyBorder="1" applyAlignment="1">
      <alignment horizontal="left"/>
    </xf>
    <xf numFmtId="0" fontId="0" fillId="0" borderId="1" xfId="4" applyFont="1" applyBorder="1" applyAlignment="1">
      <alignment horizontal="left"/>
    </xf>
    <xf numFmtId="0" fontId="0" fillId="0" borderId="1" xfId="4" applyFont="1" applyBorder="1" applyAlignment="1">
      <alignment horizontal="left"/>
    </xf>
    <xf numFmtId="0" fontId="10" fillId="10" borderId="20" xfId="1" applyFont="1" applyFill="1" applyBorder="1" applyAlignment="1">
      <alignment horizontal="center" vertical="center"/>
    </xf>
    <xf numFmtId="0" fontId="10" fillId="9" borderId="25" xfId="1" applyFont="1" applyFill="1" applyBorder="1" applyAlignment="1">
      <alignment horizontal="center" vertical="center"/>
    </xf>
    <xf numFmtId="0" fontId="10" fillId="29" borderId="20" xfId="1" applyFont="1" applyFill="1" applyBorder="1" applyAlignment="1">
      <alignment horizontal="center" vertical="center"/>
    </xf>
    <xf numFmtId="0" fontId="0" fillId="0" borderId="44" xfId="0" applyFont="1" applyFill="1" applyBorder="1" applyAlignment="1">
      <alignment horizontal="center"/>
    </xf>
    <xf numFmtId="0" fontId="0" fillId="0" borderId="25" xfId="0" applyFont="1" applyFill="1" applyBorder="1" applyAlignment="1">
      <alignment horizontal="left"/>
    </xf>
    <xf numFmtId="0" fontId="0" fillId="0" borderId="36" xfId="0" applyFill="1" applyBorder="1"/>
    <xf numFmtId="0" fontId="0" fillId="0" borderId="66" xfId="0" applyFont="1" applyBorder="1" applyAlignment="1"/>
    <xf numFmtId="0" fontId="0" fillId="0" borderId="41" xfId="0" applyFont="1" applyBorder="1" applyAlignment="1"/>
    <xf numFmtId="0" fontId="5" fillId="14" borderId="35" xfId="0" applyFont="1" applyFill="1" applyBorder="1" applyAlignment="1"/>
    <xf numFmtId="0" fontId="5" fillId="17" borderId="35" xfId="0" applyFont="1" applyFill="1" applyBorder="1" applyAlignment="1"/>
    <xf numFmtId="0" fontId="5" fillId="14" borderId="41" xfId="0" applyFont="1" applyFill="1" applyBorder="1" applyAlignment="1"/>
    <xf numFmtId="0" fontId="5" fillId="14" borderId="62" xfId="0" applyFont="1" applyFill="1" applyBorder="1" applyAlignment="1"/>
    <xf numFmtId="0" fontId="5" fillId="17" borderId="62" xfId="0" applyFont="1" applyFill="1" applyBorder="1" applyAlignment="1"/>
    <xf numFmtId="0" fontId="5" fillId="14" borderId="63" xfId="0" applyFont="1" applyFill="1" applyBorder="1" applyAlignment="1"/>
    <xf numFmtId="0" fontId="5" fillId="13" borderId="34" xfId="0" applyFont="1" applyFill="1" applyBorder="1" applyAlignment="1"/>
    <xf numFmtId="0" fontId="5" fillId="5" borderId="35" xfId="0" applyFont="1" applyFill="1" applyBorder="1" applyAlignment="1"/>
    <xf numFmtId="0" fontId="5" fillId="0" borderId="35" xfId="0" applyFont="1" applyBorder="1" applyAlignment="1"/>
    <xf numFmtId="0" fontId="5" fillId="6" borderId="35" xfId="0" applyFont="1" applyFill="1" applyBorder="1" applyAlignment="1"/>
    <xf numFmtId="0" fontId="0" fillId="14" borderId="65" xfId="0" applyFont="1" applyFill="1" applyBorder="1" applyAlignment="1"/>
    <xf numFmtId="0" fontId="0" fillId="14" borderId="35" xfId="0" applyFont="1" applyFill="1" applyBorder="1" applyAlignment="1"/>
    <xf numFmtId="0" fontId="0" fillId="0" borderId="91" xfId="0" applyFont="1" applyBorder="1" applyAlignment="1"/>
    <xf numFmtId="0" fontId="5" fillId="5" borderId="62" xfId="0" applyFont="1" applyFill="1" applyBorder="1" applyAlignment="1"/>
    <xf numFmtId="0" fontId="5" fillId="13" borderId="62" xfId="0" applyFont="1" applyFill="1" applyBorder="1" applyAlignment="1"/>
    <xf numFmtId="0" fontId="0" fillId="0" borderId="63" xfId="0" applyFont="1" applyBorder="1" applyAlignment="1"/>
    <xf numFmtId="0" fontId="5" fillId="0" borderId="48" xfId="0" applyFont="1" applyBorder="1" applyAlignment="1"/>
    <xf numFmtId="0" fontId="11" fillId="0" borderId="65" xfId="1" applyBorder="1" applyAlignment="1">
      <alignment vertical="center"/>
    </xf>
    <xf numFmtId="0" fontId="11" fillId="0" borderId="43" xfId="1" applyBorder="1" applyAlignment="1">
      <alignment vertical="center" wrapText="1"/>
    </xf>
    <xf numFmtId="0" fontId="11" fillId="0" borderId="35" xfId="1" applyBorder="1" applyAlignment="1">
      <alignment horizontal="justify" vertical="center"/>
    </xf>
    <xf numFmtId="0" fontId="3" fillId="0" borderId="34" xfId="2" applyFont="1" applyBorder="1" applyAlignment="1">
      <alignment vertical="center" wrapText="1"/>
    </xf>
    <xf numFmtId="0" fontId="11" fillId="0" borderId="27" xfId="1" applyBorder="1" applyAlignment="1">
      <alignment vertical="center" wrapText="1"/>
    </xf>
    <xf numFmtId="0" fontId="5" fillId="0" borderId="92" xfId="0" applyFont="1" applyBorder="1" applyAlignment="1">
      <alignment horizontal="center"/>
    </xf>
    <xf numFmtId="0" fontId="23" fillId="0" borderId="88" xfId="1" applyFont="1" applyBorder="1" applyAlignment="1"/>
    <xf numFmtId="0" fontId="0" fillId="0" borderId="85" xfId="0" applyFill="1" applyBorder="1"/>
    <xf numFmtId="0" fontId="0" fillId="0" borderId="22" xfId="0" applyFill="1" applyBorder="1"/>
    <xf numFmtId="0" fontId="0" fillId="0" borderId="84" xfId="0" applyFill="1" applyBorder="1"/>
    <xf numFmtId="0" fontId="0" fillId="0" borderId="27" xfId="0" applyFill="1" applyBorder="1"/>
    <xf numFmtId="0" fontId="11" fillId="0" borderId="27" xfId="1" applyFill="1" applyBorder="1" applyAlignment="1">
      <alignment horizontal="left" wrapText="1"/>
    </xf>
    <xf numFmtId="0" fontId="11" fillId="0" borderId="92" xfId="1" applyBorder="1" applyAlignment="1">
      <alignment vertical="center" wrapText="1"/>
    </xf>
    <xf numFmtId="0" fontId="0" fillId="0" borderId="120" xfId="0" applyFont="1" applyBorder="1" applyAlignment="1"/>
    <xf numFmtId="0" fontId="0" fillId="0" borderId="56" xfId="0" applyFont="1" applyBorder="1" applyAlignment="1"/>
    <xf numFmtId="0" fontId="19" fillId="0" borderId="43" xfId="3" applyFont="1" applyFill="1" applyBorder="1" applyAlignment="1">
      <alignment horizontal="center" vertical="center"/>
    </xf>
    <xf numFmtId="0" fontId="19" fillId="0" borderId="65" xfId="3" applyFont="1" applyFill="1" applyBorder="1" applyAlignment="1">
      <alignment horizontal="center" vertical="center"/>
    </xf>
    <xf numFmtId="0" fontId="19" fillId="0" borderId="34" xfId="3" applyFont="1" applyFill="1" applyBorder="1" applyAlignment="1">
      <alignment horizontal="center" vertical="center"/>
    </xf>
    <xf numFmtId="0" fontId="19" fillId="0" borderId="62" xfId="3" applyFont="1" applyFill="1" applyBorder="1" applyAlignment="1">
      <alignment horizontal="center" vertical="center"/>
    </xf>
    <xf numFmtId="0" fontId="10" fillId="0" borderId="65" xfId="2" applyFont="1" applyFill="1" applyBorder="1" applyAlignment="1">
      <alignment horizontal="center" vertical="center"/>
    </xf>
    <xf numFmtId="0" fontId="16" fillId="0" borderId="1" xfId="4" applyFont="1" applyBorder="1" applyAlignment="1">
      <alignment horizontal="left"/>
    </xf>
    <xf numFmtId="0" fontId="0" fillId="0" borderId="1" xfId="4" applyFont="1" applyBorder="1" applyAlignment="1">
      <alignment horizontal="left"/>
    </xf>
    <xf numFmtId="0" fontId="11" fillId="0" borderId="27" xfId="1" applyBorder="1" applyAlignment="1">
      <alignment horizontal="left"/>
    </xf>
    <xf numFmtId="0" fontId="5" fillId="0" borderId="1" xfId="4" applyFont="1" applyBorder="1" applyAlignment="1">
      <alignment horizontal="center"/>
    </xf>
    <xf numFmtId="0" fontId="11" fillId="0" borderId="1" xfId="1" applyBorder="1" applyAlignment="1">
      <alignment horizontal="left"/>
    </xf>
    <xf numFmtId="0" fontId="11" fillId="0" borderId="20" xfId="1" applyBorder="1" applyAlignment="1">
      <alignment horizontal="left"/>
    </xf>
    <xf numFmtId="0" fontId="11" fillId="0" borderId="20" xfId="5" applyBorder="1" applyAlignment="1">
      <alignment horizontal="left"/>
    </xf>
    <xf numFmtId="0" fontId="5" fillId="0" borderId="21" xfId="4" applyFont="1" applyBorder="1" applyAlignment="1">
      <alignment horizontal="center"/>
    </xf>
    <xf numFmtId="0" fontId="5" fillId="0" borderId="85" xfId="0" applyFont="1" applyFill="1" applyBorder="1"/>
    <xf numFmtId="0" fontId="5" fillId="0" borderId="24" xfId="4" applyFont="1" applyBorder="1" applyAlignment="1">
      <alignment horizontal="center"/>
    </xf>
    <xf numFmtId="0" fontId="5" fillId="0" borderId="26" xfId="4" applyFont="1" applyBorder="1" applyAlignment="1">
      <alignment horizontal="center"/>
    </xf>
    <xf numFmtId="0" fontId="11" fillId="0" borderId="20" xfId="1" applyFill="1" applyBorder="1" applyAlignment="1">
      <alignment horizontal="left" vertical="center"/>
    </xf>
    <xf numFmtId="0" fontId="11" fillId="0" borderId="20" xfId="1" applyFont="1" applyFill="1" applyBorder="1" applyAlignment="1">
      <alignment horizontal="left"/>
    </xf>
    <xf numFmtId="0" fontId="10" fillId="0" borderId="25" xfId="1" applyFont="1" applyBorder="1" applyAlignment="1">
      <alignment horizontal="center"/>
    </xf>
    <xf numFmtId="0" fontId="25" fillId="0" borderId="22" xfId="3" applyFont="1" applyBorder="1" applyAlignment="1">
      <alignment horizontal="left" vertical="center"/>
    </xf>
    <xf numFmtId="0" fontId="26" fillId="0" borderId="22" xfId="1" applyFont="1" applyBorder="1" applyAlignment="1">
      <alignment horizontal="left" vertical="center"/>
    </xf>
    <xf numFmtId="0" fontId="26" fillId="0" borderId="22" xfId="1" applyFont="1" applyFill="1" applyBorder="1" applyAlignment="1">
      <alignment horizontal="left" vertical="center"/>
    </xf>
    <xf numFmtId="0" fontId="10" fillId="10" borderId="22" xfId="1" applyFont="1" applyFill="1" applyBorder="1" applyAlignment="1">
      <alignment horizontal="center" vertical="center"/>
    </xf>
    <xf numFmtId="0" fontId="10" fillId="9" borderId="20" xfId="1" applyFont="1" applyFill="1" applyBorder="1" applyAlignment="1">
      <alignment horizontal="center" vertical="center"/>
    </xf>
    <xf numFmtId="0" fontId="10" fillId="29" borderId="25" xfId="1" applyFont="1" applyFill="1" applyBorder="1" applyAlignment="1">
      <alignment horizontal="center" vertical="center"/>
    </xf>
    <xf numFmtId="0" fontId="10" fillId="10" borderId="22" xfId="1" quotePrefix="1" applyFont="1" applyFill="1" applyBorder="1" applyAlignment="1">
      <alignment horizontal="center" vertical="center"/>
    </xf>
    <xf numFmtId="0" fontId="0" fillId="0" borderId="1" xfId="0" applyFont="1" applyFill="1" applyBorder="1" applyAlignment="1">
      <alignment wrapText="1"/>
    </xf>
    <xf numFmtId="0" fontId="12" fillId="0" borderId="48" xfId="3" applyBorder="1" applyAlignment="1">
      <alignment horizontal="justify" vertical="center"/>
    </xf>
    <xf numFmtId="0" fontId="12" fillId="0" borderId="62" xfId="3" applyBorder="1" applyAlignment="1">
      <alignment horizontal="justify" vertical="center"/>
    </xf>
    <xf numFmtId="0" fontId="11" fillId="0" borderId="62" xfId="1" applyFill="1" applyBorder="1" applyAlignment="1">
      <alignment vertical="center" wrapText="1"/>
    </xf>
    <xf numFmtId="0" fontId="13" fillId="0" borderId="34" xfId="1" applyFont="1" applyFill="1" applyBorder="1" applyAlignment="1">
      <alignment vertical="center"/>
    </xf>
    <xf numFmtId="0" fontId="5" fillId="0" borderId="34" xfId="0" applyFont="1" applyFill="1" applyBorder="1" applyAlignment="1"/>
    <xf numFmtId="0" fontId="10" fillId="0" borderId="34" xfId="0" applyFont="1" applyFill="1" applyBorder="1" applyAlignment="1"/>
    <xf numFmtId="0" fontId="11" fillId="0" borderId="36" xfId="1" applyFill="1" applyBorder="1" applyAlignment="1">
      <alignment horizontal="left" wrapText="1"/>
    </xf>
    <xf numFmtId="0" fontId="10" fillId="0" borderId="62" xfId="0" applyFont="1" applyFill="1" applyBorder="1" applyAlignment="1"/>
    <xf numFmtId="0" fontId="10" fillId="0" borderId="46" xfId="1" applyFont="1" applyFill="1" applyBorder="1" applyAlignment="1">
      <alignment vertical="center"/>
    </xf>
    <xf numFmtId="0" fontId="10" fillId="0" borderId="66" xfId="2" applyFont="1" applyBorder="1" applyAlignment="1">
      <alignment vertical="center"/>
    </xf>
    <xf numFmtId="0" fontId="11" fillId="0" borderId="92" xfId="1" applyFill="1" applyBorder="1" applyAlignment="1">
      <alignment horizontal="left" wrapText="1"/>
    </xf>
    <xf numFmtId="0" fontId="2" fillId="0" borderId="70" xfId="0" applyFont="1" applyFill="1" applyBorder="1"/>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34" xfId="2" applyFont="1" applyBorder="1" applyAlignment="1">
      <alignment vertical="center"/>
    </xf>
    <xf numFmtId="0" fontId="12" fillId="0" borderId="34" xfId="3" applyBorder="1" applyAlignment="1">
      <alignment vertical="center"/>
    </xf>
    <xf numFmtId="0" fontId="12" fillId="0" borderId="34" xfId="3" applyFill="1" applyBorder="1" applyAlignment="1">
      <alignment vertical="center"/>
    </xf>
    <xf numFmtId="0" fontId="12" fillId="0" borderId="33" xfId="3" applyBorder="1" applyAlignment="1">
      <alignment vertical="center"/>
    </xf>
    <xf numFmtId="0" fontId="19" fillId="0" borderId="33" xfId="3" applyFont="1" applyBorder="1" applyAlignment="1">
      <alignment horizontal="center" vertical="center"/>
    </xf>
    <xf numFmtId="0" fontId="3" fillId="0" borderId="33" xfId="2" applyFont="1" applyFill="1" applyBorder="1" applyAlignment="1">
      <alignment vertical="center"/>
    </xf>
    <xf numFmtId="0" fontId="11" fillId="0" borderId="33" xfId="1" applyFill="1" applyBorder="1" applyAlignment="1">
      <alignment vertical="center"/>
    </xf>
    <xf numFmtId="0" fontId="12" fillId="0" borderId="33" xfId="3" applyFill="1" applyBorder="1" applyAlignment="1">
      <alignment vertical="center"/>
    </xf>
    <xf numFmtId="0" fontId="10" fillId="0" borderId="35" xfId="2" applyFont="1" applyFill="1" applyBorder="1" applyAlignment="1">
      <alignment vertical="center"/>
    </xf>
    <xf numFmtId="0" fontId="10" fillId="0" borderId="35" xfId="1" applyFont="1" applyFill="1" applyBorder="1" applyAlignment="1">
      <alignment vertical="center"/>
    </xf>
    <xf numFmtId="0" fontId="10" fillId="0" borderId="41" xfId="2" applyFont="1" applyBorder="1" applyAlignment="1">
      <alignment vertical="center"/>
    </xf>
    <xf numFmtId="0" fontId="3" fillId="0" borderId="39" xfId="2" applyFont="1" applyBorder="1" applyAlignment="1">
      <alignment vertical="center"/>
    </xf>
    <xf numFmtId="0" fontId="19" fillId="0" borderId="118" xfId="3" applyFont="1" applyBorder="1" applyAlignment="1">
      <alignment horizontal="center" vertical="center"/>
    </xf>
    <xf numFmtId="0" fontId="12" fillId="0" borderId="55" xfId="3" applyBorder="1" applyAlignment="1">
      <alignment vertical="center"/>
    </xf>
    <xf numFmtId="0" fontId="19" fillId="0" borderId="55" xfId="3" applyFont="1" applyBorder="1" applyAlignment="1">
      <alignment vertical="center"/>
    </xf>
    <xf numFmtId="0" fontId="12" fillId="0" borderId="53" xfId="3" applyBorder="1" applyAlignment="1">
      <alignment vertical="center"/>
    </xf>
    <xf numFmtId="0" fontId="19" fillId="0" borderId="119" xfId="3" applyFont="1" applyBorder="1" applyAlignment="1">
      <alignment vertical="center"/>
    </xf>
    <xf numFmtId="0" fontId="19" fillId="0" borderId="40" xfId="3" applyFont="1" applyBorder="1" applyAlignment="1">
      <alignment horizontal="center" vertical="center"/>
    </xf>
    <xf numFmtId="0" fontId="19" fillId="0" borderId="35" xfId="3" applyFont="1" applyBorder="1" applyAlignment="1">
      <alignment horizontal="center" vertical="center"/>
    </xf>
    <xf numFmtId="0" fontId="19" fillId="0" borderId="35" xfId="3" applyFont="1" applyFill="1" applyBorder="1" applyAlignment="1">
      <alignment horizontal="center" vertical="center"/>
    </xf>
    <xf numFmtId="0" fontId="19" fillId="0" borderId="41" xfId="3" applyFont="1" applyBorder="1" applyAlignment="1">
      <alignment horizontal="center" vertical="center"/>
    </xf>
    <xf numFmtId="0" fontId="10" fillId="0" borderId="54" xfId="1" applyFont="1" applyFill="1" applyBorder="1" applyAlignment="1">
      <alignment horizontal="center" vertical="center"/>
    </xf>
    <xf numFmtId="0" fontId="10" fillId="0" borderId="56" xfId="1" applyFont="1" applyFill="1" applyBorder="1" applyAlignment="1">
      <alignment horizontal="center" vertical="center"/>
    </xf>
    <xf numFmtId="0" fontId="10" fillId="0" borderId="35" xfId="0" applyFont="1" applyFill="1" applyBorder="1" applyAlignment="1"/>
    <xf numFmtId="0" fontId="10" fillId="0" borderId="35" xfId="0" applyFont="1" applyBorder="1" applyAlignment="1"/>
    <xf numFmtId="0" fontId="10" fillId="0" borderId="55" xfId="0" applyFont="1" applyFill="1" applyBorder="1" applyAlignment="1"/>
    <xf numFmtId="0" fontId="19" fillId="0" borderId="33" xfId="3" applyFont="1" applyFill="1" applyBorder="1" applyAlignment="1">
      <alignment horizontal="center" vertical="center"/>
    </xf>
    <xf numFmtId="0" fontId="10" fillId="0" borderId="55" xfId="1" applyFont="1" applyFill="1" applyBorder="1" applyAlignment="1">
      <alignment vertical="center"/>
    </xf>
    <xf numFmtId="0" fontId="10" fillId="0" borderId="57" xfId="0" applyFont="1" applyFill="1" applyBorder="1" applyAlignment="1"/>
    <xf numFmtId="0" fontId="3" fillId="0" borderId="33" xfId="2" applyFont="1" applyBorder="1" applyAlignment="1">
      <alignment horizontal="center" vertical="center"/>
    </xf>
    <xf numFmtId="0" fontId="3" fillId="0" borderId="39" xfId="2" applyFont="1" applyBorder="1" applyAlignment="1">
      <alignment horizontal="center" vertical="center"/>
    </xf>
    <xf numFmtId="0" fontId="10" fillId="0" borderId="40" xfId="1" applyFont="1" applyFill="1" applyBorder="1" applyAlignment="1">
      <alignment vertical="center"/>
    </xf>
    <xf numFmtId="0" fontId="5" fillId="0" borderId="26" xfId="0" applyFont="1" applyBorder="1" applyAlignment="1">
      <alignment horizontal="center"/>
    </xf>
    <xf numFmtId="0" fontId="16" fillId="0" borderId="1" xfId="4" applyFont="1" applyBorder="1" applyAlignment="1">
      <alignment horizontal="left"/>
    </xf>
    <xf numFmtId="0" fontId="0" fillId="0" borderId="1" xfId="4" applyFont="1" applyBorder="1" applyAlignment="1">
      <alignment horizontal="left"/>
    </xf>
    <xf numFmtId="0" fontId="11" fillId="0" borderId="35" xfId="1" applyBorder="1" applyAlignment="1">
      <alignment horizontal="left" vertical="center"/>
    </xf>
    <xf numFmtId="0" fontId="13" fillId="0" borderId="35" xfId="1" applyFont="1" applyFill="1" applyBorder="1" applyAlignment="1">
      <alignment horizontal="left" vertical="center"/>
    </xf>
    <xf numFmtId="0" fontId="11" fillId="0" borderId="41" xfId="1" applyBorder="1" applyAlignment="1">
      <alignment horizontal="left" vertical="center"/>
    </xf>
    <xf numFmtId="0" fontId="10" fillId="29" borderId="24" xfId="1" applyFont="1" applyFill="1" applyBorder="1" applyAlignment="1">
      <alignment horizontal="center" vertical="center"/>
    </xf>
    <xf numFmtId="0" fontId="10" fillId="9" borderId="26" xfId="1" applyFont="1" applyFill="1" applyBorder="1" applyAlignment="1">
      <alignment horizontal="center" vertical="center"/>
    </xf>
    <xf numFmtId="0" fontId="10" fillId="9" borderId="27" xfId="1" applyFont="1" applyFill="1" applyBorder="1" applyAlignment="1">
      <alignment horizontal="center" vertical="center"/>
    </xf>
    <xf numFmtId="0" fontId="10" fillId="10" borderId="27" xfId="1" quotePrefix="1" applyFont="1" applyFill="1" applyBorder="1" applyAlignment="1">
      <alignment horizontal="center" vertical="center"/>
    </xf>
    <xf numFmtId="0" fontId="0" fillId="28" borderId="99" xfId="0" applyFont="1" applyFill="1" applyBorder="1" applyAlignment="1">
      <alignment horizontal="center" vertical="center"/>
    </xf>
    <xf numFmtId="0" fontId="0" fillId="28" borderId="57" xfId="0" applyFont="1" applyFill="1" applyBorder="1" applyAlignment="1">
      <alignment horizontal="center" vertical="center"/>
    </xf>
    <xf numFmtId="0" fontId="0" fillId="28" borderId="57" xfId="4" applyFont="1" applyFill="1" applyBorder="1" applyAlignment="1">
      <alignment horizontal="left" vertical="center"/>
    </xf>
    <xf numFmtId="0" fontId="0" fillId="26" borderId="99" xfId="4" applyFont="1" applyFill="1" applyBorder="1" applyAlignment="1">
      <alignment horizontal="left" vertical="center"/>
    </xf>
    <xf numFmtId="0" fontId="11" fillId="5" borderId="24" xfId="1" applyFill="1" applyBorder="1" applyAlignment="1">
      <alignment horizontal="center"/>
    </xf>
    <xf numFmtId="0" fontId="5" fillId="5" borderId="21" xfId="0" applyFont="1" applyFill="1" applyBorder="1" applyAlignment="1">
      <alignment horizontal="center"/>
    </xf>
    <xf numFmtId="0" fontId="11" fillId="5" borderId="20" xfId="1" applyFill="1" applyBorder="1" applyAlignment="1">
      <alignment horizontal="center"/>
    </xf>
    <xf numFmtId="0" fontId="5" fillId="5" borderId="22" xfId="0" applyFont="1" applyFill="1" applyBorder="1" applyAlignment="1">
      <alignment horizontal="center"/>
    </xf>
    <xf numFmtId="0" fontId="13" fillId="20" borderId="20" xfId="1" applyFont="1" applyFill="1" applyBorder="1" applyAlignment="1">
      <alignment horizontal="center"/>
    </xf>
    <xf numFmtId="0" fontId="13" fillId="20" borderId="25" xfId="1" applyFont="1" applyFill="1" applyBorder="1" applyAlignment="1">
      <alignment horizontal="center"/>
    </xf>
    <xf numFmtId="0" fontId="11" fillId="5" borderId="25" xfId="1" applyFill="1" applyBorder="1" applyAlignment="1">
      <alignment horizontal="center"/>
    </xf>
    <xf numFmtId="0" fontId="0" fillId="20" borderId="27" xfId="0" applyFont="1" applyFill="1" applyBorder="1" applyAlignment="1">
      <alignment horizontal="center"/>
    </xf>
    <xf numFmtId="0" fontId="5" fillId="5" borderId="23" xfId="0" applyFont="1" applyFill="1" applyBorder="1" applyAlignment="1">
      <alignment horizontal="center"/>
    </xf>
    <xf numFmtId="0" fontId="0" fillId="20" borderId="28" xfId="0" applyFont="1" applyFill="1" applyBorder="1" applyAlignment="1">
      <alignment horizontal="center"/>
    </xf>
    <xf numFmtId="0" fontId="13" fillId="20" borderId="24" xfId="1" applyFont="1" applyFill="1" applyBorder="1" applyAlignment="1">
      <alignment horizontal="center"/>
    </xf>
    <xf numFmtId="0" fontId="0" fillId="20" borderId="26" xfId="0" applyFont="1" applyFill="1" applyBorder="1" applyAlignment="1">
      <alignment horizontal="center"/>
    </xf>
    <xf numFmtId="0" fontId="4" fillId="0" borderId="67" xfId="2" applyFont="1" applyBorder="1" applyAlignment="1">
      <alignment vertical="center"/>
    </xf>
    <xf numFmtId="0" fontId="10" fillId="0" borderId="24" xfId="1" applyFont="1" applyBorder="1" applyAlignment="1">
      <alignment horizontal="left" vertical="center"/>
    </xf>
    <xf numFmtId="0" fontId="10" fillId="0" borderId="20" xfId="1" applyFont="1" applyBorder="1" applyAlignment="1">
      <alignment horizontal="left" vertical="center"/>
    </xf>
    <xf numFmtId="0" fontId="0" fillId="0" borderId="24" xfId="0" applyFont="1" applyBorder="1" applyAlignment="1">
      <alignment horizontal="center" vertical="center"/>
    </xf>
    <xf numFmtId="0" fontId="0" fillId="0" borderId="20" xfId="0" applyFont="1" applyBorder="1" applyAlignment="1">
      <alignment horizontal="center" vertical="center"/>
    </xf>
    <xf numFmtId="0" fontId="0" fillId="0" borderId="25" xfId="0" applyFont="1" applyBorder="1" applyAlignment="1">
      <alignment horizontal="center" vertical="center"/>
    </xf>
    <xf numFmtId="0" fontId="10" fillId="9" borderId="36" xfId="1" applyFont="1" applyFill="1" applyBorder="1" applyAlignment="1">
      <alignment horizontal="center" vertical="center"/>
    </xf>
    <xf numFmtId="0" fontId="10" fillId="29" borderId="36" xfId="1" applyFont="1" applyFill="1" applyBorder="1" applyAlignment="1">
      <alignment horizontal="center" vertical="center"/>
    </xf>
    <xf numFmtId="0" fontId="10" fillId="0" borderId="20" xfId="1" applyFont="1" applyFill="1" applyBorder="1" applyAlignment="1">
      <alignment horizontal="left" vertical="center"/>
    </xf>
    <xf numFmtId="0" fontId="10" fillId="0" borderId="25" xfId="1" applyFont="1" applyBorder="1" applyAlignment="1">
      <alignment horizontal="left" vertical="center"/>
    </xf>
    <xf numFmtId="0" fontId="10" fillId="0" borderId="26" xfId="1" applyFont="1" applyBorder="1" applyAlignment="1">
      <alignment horizontal="left" vertical="center"/>
    </xf>
    <xf numFmtId="0" fontId="10" fillId="0" borderId="27" xfId="1" applyFont="1" applyBorder="1" applyAlignment="1">
      <alignment horizontal="left" vertical="center"/>
    </xf>
    <xf numFmtId="0" fontId="10" fillId="0" borderId="27" xfId="1" applyFont="1" applyFill="1" applyBorder="1" applyAlignment="1">
      <alignment horizontal="left" vertical="center"/>
    </xf>
    <xf numFmtId="0" fontId="10" fillId="0" borderId="28" xfId="1" applyFont="1" applyBorder="1" applyAlignment="1">
      <alignment horizontal="left" vertical="center"/>
    </xf>
    <xf numFmtId="0" fontId="10" fillId="0" borderId="25" xfId="1" quotePrefix="1" applyFont="1" applyBorder="1" applyAlignment="1">
      <alignment horizontal="left" vertical="center"/>
    </xf>
    <xf numFmtId="0" fontId="10" fillId="0" borderId="20" xfId="1" quotePrefix="1" applyFont="1" applyFill="1" applyBorder="1" applyAlignment="1">
      <alignment horizontal="left" vertical="center"/>
    </xf>
    <xf numFmtId="0" fontId="10" fillId="0" borderId="24" xfId="1" quotePrefix="1" applyFont="1" applyBorder="1" applyAlignment="1">
      <alignment horizontal="left" vertical="center"/>
    </xf>
    <xf numFmtId="0" fontId="16" fillId="0" borderId="1" xfId="4" applyFont="1" applyBorder="1" applyAlignment="1">
      <alignment horizontal="left"/>
    </xf>
    <xf numFmtId="0" fontId="0" fillId="0" borderId="1" xfId="4" applyFont="1" applyBorder="1" applyAlignment="1">
      <alignment horizontal="left"/>
    </xf>
    <xf numFmtId="0" fontId="11" fillId="0" borderId="27" xfId="1" applyFill="1" applyBorder="1" applyAlignment="1">
      <alignment horizontal="left" vertical="center"/>
    </xf>
    <xf numFmtId="0" fontId="10" fillId="5" borderId="20" xfId="1" applyFont="1" applyFill="1" applyBorder="1" applyAlignment="1">
      <alignment horizontal="center" vertical="center"/>
    </xf>
    <xf numFmtId="0" fontId="10" fillId="5" borderId="27" xfId="1" quotePrefix="1" applyFont="1" applyFill="1" applyBorder="1" applyAlignment="1">
      <alignment horizontal="center" vertical="center"/>
    </xf>
    <xf numFmtId="0" fontId="10" fillId="0" borderId="34" xfId="1" applyFont="1" applyBorder="1" applyAlignment="1">
      <alignment horizontal="center" vertical="center"/>
    </xf>
    <xf numFmtId="0" fontId="10" fillId="0" borderId="91" xfId="1" applyFont="1" applyBorder="1" applyAlignment="1">
      <alignment horizontal="center" vertical="center"/>
    </xf>
    <xf numFmtId="0" fontId="10" fillId="27" borderId="42" xfId="1" applyFont="1" applyFill="1" applyBorder="1" applyAlignment="1">
      <alignment horizontal="center" vertical="center"/>
    </xf>
    <xf numFmtId="0" fontId="10" fillId="27" borderId="43" xfId="1" applyFont="1" applyFill="1" applyBorder="1" applyAlignment="1">
      <alignment horizontal="center" vertical="center"/>
    </xf>
    <xf numFmtId="0" fontId="10" fillId="27" borderId="44" xfId="1" applyFont="1" applyFill="1" applyBorder="1" applyAlignment="1">
      <alignment horizontal="center" vertical="center"/>
    </xf>
    <xf numFmtId="0" fontId="11" fillId="0" borderId="45" xfId="1" applyBorder="1" applyAlignment="1">
      <alignment horizontal="left" vertical="center"/>
    </xf>
    <xf numFmtId="0" fontId="11" fillId="0" borderId="45" xfId="1" applyFont="1" applyBorder="1" applyAlignment="1">
      <alignment horizontal="left" vertical="center"/>
    </xf>
    <xf numFmtId="0" fontId="11" fillId="0" borderId="68" xfId="1" applyBorder="1" applyAlignment="1">
      <alignment horizontal="left" vertical="center"/>
    </xf>
    <xf numFmtId="0" fontId="10" fillId="0" borderId="1" xfId="1" applyFont="1" applyBorder="1" applyAlignment="1">
      <alignment horizontal="center" vertical="center"/>
    </xf>
    <xf numFmtId="0" fontId="10" fillId="0" borderId="96" xfId="1" applyFont="1" applyBorder="1" applyAlignment="1">
      <alignment horizontal="center" vertical="center"/>
    </xf>
    <xf numFmtId="0" fontId="3" fillId="0" borderId="96" xfId="2" applyFont="1" applyBorder="1" applyAlignment="1">
      <alignment vertical="center"/>
    </xf>
    <xf numFmtId="0" fontId="10" fillId="0" borderId="96" xfId="1" quotePrefix="1" applyFont="1" applyBorder="1" applyAlignment="1">
      <alignment horizontal="center" vertical="center"/>
    </xf>
    <xf numFmtId="0" fontId="10" fillId="0" borderId="96" xfId="1" applyFont="1" applyFill="1" applyBorder="1" applyAlignment="1">
      <alignment horizontal="center" vertical="center"/>
    </xf>
    <xf numFmtId="0" fontId="10" fillId="0" borderId="42" xfId="1" applyFont="1" applyFill="1" applyBorder="1" applyAlignment="1">
      <alignment horizontal="center" vertical="center"/>
    </xf>
    <xf numFmtId="0" fontId="10" fillId="0" borderId="43" xfId="1" applyFont="1" applyFill="1" applyBorder="1" applyAlignment="1">
      <alignment horizontal="center" vertical="center"/>
    </xf>
    <xf numFmtId="0" fontId="10" fillId="0" borderId="44" xfId="1" applyFont="1" applyFill="1" applyBorder="1" applyAlignment="1">
      <alignment horizontal="center" vertical="center"/>
    </xf>
    <xf numFmtId="0" fontId="10" fillId="0" borderId="1" xfId="1" quotePrefix="1" applyFont="1" applyBorder="1" applyAlignment="1">
      <alignment horizontal="center" vertical="center"/>
    </xf>
    <xf numFmtId="0" fontId="10" fillId="0" borderId="1" xfId="1" applyFont="1" applyFill="1" applyBorder="1" applyAlignment="1">
      <alignment horizontal="center" vertical="center"/>
    </xf>
    <xf numFmtId="0" fontId="0" fillId="0" borderId="42" xfId="0" applyFont="1" applyBorder="1" applyAlignment="1">
      <alignment horizontal="center"/>
    </xf>
    <xf numFmtId="0" fontId="10" fillId="13" borderId="20" xfId="1" applyFont="1" applyFill="1" applyBorder="1" applyAlignment="1">
      <alignment horizontal="center" vertical="center"/>
    </xf>
    <xf numFmtId="0" fontId="11" fillId="0" borderId="89" xfId="1" applyBorder="1" applyAlignment="1">
      <alignment horizontal="left" vertical="center"/>
    </xf>
    <xf numFmtId="0" fontId="11" fillId="0" borderId="90" xfId="1" applyBorder="1" applyAlignment="1">
      <alignment horizontal="left" vertical="center"/>
    </xf>
    <xf numFmtId="0" fontId="11" fillId="0" borderId="90" xfId="1" applyFont="1" applyBorder="1" applyAlignment="1">
      <alignment horizontal="left" vertical="center"/>
    </xf>
    <xf numFmtId="0" fontId="11" fillId="0" borderId="73" xfId="1" applyBorder="1" applyAlignment="1">
      <alignment horizontal="left" vertical="center"/>
    </xf>
    <xf numFmtId="0" fontId="10" fillId="9" borderId="24" xfId="1" applyFont="1" applyFill="1" applyBorder="1" applyAlignment="1">
      <alignment horizontal="center" vertical="center"/>
    </xf>
    <xf numFmtId="0" fontId="10" fillId="13" borderId="24" xfId="1" applyFont="1" applyFill="1" applyBorder="1" applyAlignment="1">
      <alignment horizontal="center" vertical="center"/>
    </xf>
    <xf numFmtId="0" fontId="10" fillId="13" borderId="25" xfId="1" applyFont="1" applyFill="1" applyBorder="1" applyAlignment="1">
      <alignment horizontal="center" vertical="center"/>
    </xf>
    <xf numFmtId="0" fontId="10" fillId="9" borderId="28" xfId="1" applyFont="1" applyFill="1" applyBorder="1" applyAlignment="1">
      <alignment horizontal="center" vertical="center"/>
    </xf>
    <xf numFmtId="0" fontId="5" fillId="0" borderId="20" xfId="0" applyFont="1" applyBorder="1" applyAlignment="1">
      <alignment horizontal="center" vertical="center"/>
    </xf>
    <xf numFmtId="0" fontId="10" fillId="9" borderId="40" xfId="1" applyFont="1" applyFill="1" applyBorder="1" applyAlignment="1">
      <alignment horizontal="center" vertical="center"/>
    </xf>
    <xf numFmtId="0" fontId="10" fillId="9" borderId="35" xfId="1" applyFont="1" applyFill="1" applyBorder="1" applyAlignment="1">
      <alignment horizontal="center" vertical="center"/>
    </xf>
    <xf numFmtId="0" fontId="10" fillId="9" borderId="41" xfId="1" applyFont="1" applyFill="1" applyBorder="1" applyAlignment="1">
      <alignment horizontal="center" vertical="center"/>
    </xf>
    <xf numFmtId="0" fontId="10" fillId="23" borderId="24" xfId="1" applyFont="1" applyFill="1" applyBorder="1" applyAlignment="1">
      <alignment horizontal="center" vertical="center"/>
    </xf>
    <xf numFmtId="0" fontId="10" fillId="18" borderId="47" xfId="1" applyFont="1" applyFill="1" applyBorder="1" applyAlignment="1">
      <alignment horizontal="center" vertical="center"/>
    </xf>
    <xf numFmtId="0" fontId="10" fillId="29" borderId="40" xfId="1" applyFont="1" applyFill="1" applyBorder="1" applyAlignment="1">
      <alignment horizontal="center" vertical="center"/>
    </xf>
    <xf numFmtId="0" fontId="10" fillId="9" borderId="121" xfId="1" applyFont="1" applyFill="1" applyBorder="1" applyAlignment="1">
      <alignment horizontal="center" vertical="center"/>
    </xf>
    <xf numFmtId="0" fontId="10" fillId="23" borderId="22" xfId="1" applyFont="1" applyFill="1" applyBorder="1" applyAlignment="1">
      <alignment horizontal="center" vertical="center"/>
    </xf>
    <xf numFmtId="0" fontId="10" fillId="23" borderId="25" xfId="1" applyFont="1" applyFill="1" applyBorder="1" applyAlignment="1">
      <alignment horizontal="center" vertical="center"/>
    </xf>
    <xf numFmtId="0" fontId="10" fillId="9" borderId="122" xfId="1" applyFont="1" applyFill="1" applyBorder="1" applyAlignment="1">
      <alignment horizontal="center" vertical="center"/>
    </xf>
    <xf numFmtId="0" fontId="10" fillId="23" borderId="27" xfId="1" applyFont="1" applyFill="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8" xfId="1" applyFont="1" applyFill="1" applyBorder="1" applyAlignment="1">
      <alignment horizontal="center" vertical="center"/>
    </xf>
    <xf numFmtId="0" fontId="10" fillId="0" borderId="63" xfId="1" applyFont="1" applyFill="1" applyBorder="1" applyAlignment="1">
      <alignment horizontal="center" vertical="center"/>
    </xf>
    <xf numFmtId="0" fontId="4" fillId="0" borderId="68" xfId="2" applyFont="1" applyBorder="1" applyAlignment="1">
      <alignment vertical="center"/>
    </xf>
    <xf numFmtId="164" fontId="10" fillId="0" borderId="65" xfId="1" applyNumberFormat="1" applyFont="1" applyFill="1" applyBorder="1" applyAlignment="1">
      <alignment horizontal="center" vertical="center"/>
    </xf>
    <xf numFmtId="164" fontId="10" fillId="0" borderId="66" xfId="1" applyNumberFormat="1" applyFont="1" applyFill="1" applyBorder="1" applyAlignment="1">
      <alignment horizontal="center" vertical="center"/>
    </xf>
    <xf numFmtId="164" fontId="10" fillId="0" borderId="47" xfId="1" applyNumberFormat="1" applyFont="1" applyFill="1" applyBorder="1" applyAlignment="1">
      <alignment horizontal="center" vertical="center"/>
    </xf>
    <xf numFmtId="0" fontId="10" fillId="0" borderId="46" xfId="1" applyFont="1" applyBorder="1" applyAlignment="1">
      <alignment horizontal="center" vertical="center"/>
    </xf>
    <xf numFmtId="0" fontId="10" fillId="0" borderId="48" xfId="1" applyFont="1" applyBorder="1" applyAlignment="1">
      <alignment horizontal="center" vertical="center"/>
    </xf>
    <xf numFmtId="0" fontId="0" fillId="0" borderId="1" xfId="4" applyFont="1" applyBorder="1" applyAlignment="1">
      <alignment horizontal="left"/>
    </xf>
    <xf numFmtId="0" fontId="0" fillId="0" borderId="1" xfId="4" applyFont="1" applyFill="1" applyBorder="1"/>
    <xf numFmtId="0" fontId="2" fillId="0" borderId="70" xfId="0" applyFont="1" applyBorder="1" applyAlignment="1"/>
    <xf numFmtId="0" fontId="5" fillId="0" borderId="42" xfId="0" applyFont="1" applyBorder="1" applyAlignment="1">
      <alignment wrapText="1"/>
    </xf>
    <xf numFmtId="0" fontId="5" fillId="0" borderId="43" xfId="0" applyFont="1" applyBorder="1" applyAlignment="1">
      <alignment wrapText="1"/>
    </xf>
    <xf numFmtId="0" fontId="5" fillId="0" borderId="44" xfId="0" applyFont="1" applyBorder="1" applyAlignment="1">
      <alignment wrapText="1"/>
    </xf>
    <xf numFmtId="0" fontId="5" fillId="0" borderId="20" xfId="2" applyFont="1" applyFill="1" applyBorder="1" applyAlignment="1">
      <alignment vertical="top" wrapText="1"/>
    </xf>
    <xf numFmtId="0" fontId="5" fillId="16" borderId="20" xfId="2" applyFont="1" applyFill="1" applyBorder="1" applyAlignment="1">
      <alignment vertical="top" wrapText="1"/>
    </xf>
    <xf numFmtId="0" fontId="5" fillId="0" borderId="20" xfId="2" applyFont="1" applyBorder="1" applyAlignment="1">
      <alignment vertical="top" wrapText="1"/>
    </xf>
    <xf numFmtId="0" fontId="10" fillId="23" borderId="21" xfId="1" applyFont="1" applyFill="1" applyBorder="1" applyAlignment="1">
      <alignment horizontal="center" vertical="center"/>
    </xf>
    <xf numFmtId="0" fontId="10" fillId="23" borderId="23" xfId="1" applyFont="1" applyFill="1" applyBorder="1" applyAlignment="1">
      <alignment horizontal="center" vertical="center"/>
    </xf>
    <xf numFmtId="0" fontId="10" fillId="5" borderId="21" xfId="1" applyFont="1" applyFill="1" applyBorder="1" applyAlignment="1">
      <alignment horizontal="center" vertical="center"/>
    </xf>
    <xf numFmtId="0" fontId="10" fillId="5" borderId="22" xfId="1" applyFont="1" applyFill="1" applyBorder="1" applyAlignment="1">
      <alignment horizontal="center" vertical="center"/>
    </xf>
    <xf numFmtId="0" fontId="10" fillId="5" borderId="23" xfId="1" applyFont="1" applyFill="1" applyBorder="1" applyAlignment="1">
      <alignment horizontal="center" vertical="center"/>
    </xf>
    <xf numFmtId="0" fontId="11" fillId="0" borderId="70" xfId="1" applyBorder="1" applyAlignment="1">
      <alignment horizontal="left" vertical="center"/>
    </xf>
    <xf numFmtId="0" fontId="10" fillId="5" borderId="43" xfId="1" applyFont="1" applyFill="1" applyBorder="1" applyAlignment="1">
      <alignment horizontal="center" vertical="center"/>
    </xf>
    <xf numFmtId="0" fontId="10" fillId="5" borderId="44" xfId="1" applyFont="1" applyFill="1" applyBorder="1" applyAlignment="1">
      <alignment horizontal="center" vertical="center"/>
    </xf>
    <xf numFmtId="0" fontId="0" fillId="0" borderId="1" xfId="4" applyFont="1" applyBorder="1" applyAlignment="1">
      <alignment horizontal="left"/>
    </xf>
    <xf numFmtId="0" fontId="16" fillId="0" borderId="1" xfId="4" applyFont="1" applyBorder="1" applyAlignment="1">
      <alignment horizontal="left"/>
    </xf>
    <xf numFmtId="0" fontId="3" fillId="0" borderId="20" xfId="2" applyFont="1" applyFill="1" applyBorder="1" applyAlignment="1">
      <alignment vertical="center" wrapText="1"/>
    </xf>
    <xf numFmtId="0" fontId="0" fillId="0" borderId="1" xfId="0" applyFill="1" applyBorder="1" applyAlignment="1">
      <alignment vertical="center"/>
    </xf>
    <xf numFmtId="0" fontId="3" fillId="4" borderId="58" xfId="0" applyFont="1" applyFill="1" applyBorder="1" applyAlignment="1">
      <alignment horizontal="left"/>
    </xf>
    <xf numFmtId="0" fontId="3" fillId="4" borderId="88" xfId="0" applyFont="1" applyFill="1" applyBorder="1" applyAlignment="1">
      <alignment horizontal="left"/>
    </xf>
    <xf numFmtId="0" fontId="3" fillId="4" borderId="72"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0" fillId="8" borderId="104" xfId="0" applyFont="1" applyFill="1" applyBorder="1" applyAlignment="1">
      <alignment horizontal="center"/>
    </xf>
    <xf numFmtId="0" fontId="0" fillId="0" borderId="114" xfId="0" applyFont="1" applyFill="1" applyBorder="1" applyAlignment="1">
      <alignment horizontal="center"/>
    </xf>
    <xf numFmtId="0" fontId="0" fillId="0" borderId="115" xfId="0" applyFont="1" applyFill="1" applyBorder="1" applyAlignment="1">
      <alignment horizontal="center"/>
    </xf>
    <xf numFmtId="0" fontId="0" fillId="8" borderId="115" xfId="0" applyFont="1" applyFill="1" applyBorder="1" applyAlignment="1">
      <alignment horizontal="center"/>
    </xf>
    <xf numFmtId="0" fontId="0" fillId="0" borderId="116" xfId="0" applyFont="1" applyFill="1" applyBorder="1" applyAlignment="1">
      <alignment horizontal="center"/>
    </xf>
    <xf numFmtId="0" fontId="0" fillId="8" borderId="116" xfId="0" applyFont="1" applyFill="1" applyBorder="1" applyAlignment="1">
      <alignment horizontal="center"/>
    </xf>
    <xf numFmtId="0" fontId="0" fillId="0" borderId="62" xfId="0" applyFont="1" applyFill="1" applyBorder="1" applyAlignment="1">
      <alignment horizontal="center"/>
    </xf>
    <xf numFmtId="3" fontId="0" fillId="0" borderId="43" xfId="0" applyNumberFormat="1" applyFont="1" applyFill="1" applyBorder="1" applyAlignment="1">
      <alignment horizontal="center"/>
    </xf>
    <xf numFmtId="0" fontId="12" fillId="9" borderId="42" xfId="3" applyFill="1" applyBorder="1" applyAlignment="1">
      <alignment vertical="center" wrapText="1"/>
    </xf>
    <xf numFmtId="0" fontId="11" fillId="9" borderId="44" xfId="1" applyFill="1" applyBorder="1" applyAlignment="1">
      <alignment vertical="center" wrapText="1"/>
    </xf>
    <xf numFmtId="0" fontId="0" fillId="0" borderId="123" xfId="0" applyFont="1" applyFill="1" applyBorder="1" applyAlignment="1">
      <alignment horizontal="center"/>
    </xf>
    <xf numFmtId="0" fontId="0" fillId="0" borderId="125" xfId="0" applyFont="1" applyFill="1" applyBorder="1" applyAlignment="1">
      <alignment horizontal="center"/>
    </xf>
    <xf numFmtId="0" fontId="0" fillId="0" borderId="126" xfId="0" applyFont="1" applyFill="1" applyBorder="1" applyAlignment="1">
      <alignment horizontal="center"/>
    </xf>
    <xf numFmtId="0" fontId="0" fillId="8" borderId="125" xfId="0" applyFont="1" applyFill="1" applyBorder="1" applyAlignment="1">
      <alignment horizontal="center"/>
    </xf>
    <xf numFmtId="0" fontId="0" fillId="8" borderId="126" xfId="0" applyFont="1" applyFill="1" applyBorder="1" applyAlignment="1">
      <alignment horizontal="center"/>
    </xf>
    <xf numFmtId="0" fontId="0" fillId="0" borderId="127" xfId="0" applyFont="1" applyFill="1" applyBorder="1" applyAlignment="1">
      <alignment horizontal="center"/>
    </xf>
    <xf numFmtId="0" fontId="0" fillId="0" borderId="128" xfId="0" applyFont="1" applyFill="1" applyBorder="1" applyAlignment="1">
      <alignment horizontal="center"/>
    </xf>
    <xf numFmtId="3" fontId="0" fillId="0" borderId="12" xfId="0" applyNumberFormat="1" applyFont="1" applyFill="1" applyBorder="1" applyAlignment="1">
      <alignment horizontal="center"/>
    </xf>
    <xf numFmtId="3" fontId="0" fillId="0" borderId="14" xfId="0" applyNumberFormat="1" applyFont="1" applyFill="1" applyBorder="1" applyAlignment="1">
      <alignment horizontal="center"/>
    </xf>
    <xf numFmtId="0" fontId="0" fillId="0" borderId="124" xfId="0" applyFont="1" applyFill="1" applyBorder="1" applyAlignment="1">
      <alignment horizontal="center"/>
    </xf>
    <xf numFmtId="0" fontId="5" fillId="9" borderId="128" xfId="0" applyFont="1" applyFill="1" applyBorder="1" applyAlignment="1">
      <alignment horizontal="center"/>
    </xf>
    <xf numFmtId="3" fontId="0" fillId="0" borderId="128" xfId="0" applyNumberFormat="1" applyFont="1" applyFill="1" applyBorder="1" applyAlignment="1">
      <alignment horizontal="center"/>
    </xf>
    <xf numFmtId="0" fontId="0" fillId="0" borderId="129" xfId="0" applyFont="1" applyFill="1" applyBorder="1" applyAlignment="1">
      <alignment horizontal="center"/>
    </xf>
    <xf numFmtId="0" fontId="0" fillId="0" borderId="130" xfId="0" applyFont="1" applyFill="1" applyBorder="1" applyAlignment="1">
      <alignment horizontal="center"/>
    </xf>
    <xf numFmtId="3" fontId="0" fillId="0" borderId="131" xfId="0" applyNumberFormat="1" applyFont="1" applyFill="1" applyBorder="1" applyAlignment="1">
      <alignment horizontal="center"/>
    </xf>
    <xf numFmtId="0" fontId="3" fillId="0" borderId="65" xfId="2" applyFont="1" applyBorder="1" applyAlignment="1">
      <alignment vertical="center"/>
    </xf>
    <xf numFmtId="0" fontId="10" fillId="0" borderId="34" xfId="2" applyFont="1" applyBorder="1" applyAlignment="1">
      <alignment vertical="center"/>
    </xf>
    <xf numFmtId="0" fontId="10" fillId="0" borderId="35" xfId="2" applyFont="1" applyBorder="1" applyAlignment="1">
      <alignment vertical="center"/>
    </xf>
    <xf numFmtId="0" fontId="10" fillId="0" borderId="62" xfId="2" applyFont="1" applyBorder="1" applyAlignment="1">
      <alignment vertical="center"/>
    </xf>
    <xf numFmtId="0" fontId="10" fillId="0" borderId="65" xfId="2" applyFont="1" applyBorder="1" applyAlignment="1">
      <alignment vertical="center"/>
    </xf>
    <xf numFmtId="0" fontId="11" fillId="0" borderId="122" xfId="1" applyFill="1" applyBorder="1" applyAlignment="1">
      <alignment vertical="center" wrapText="1"/>
    </xf>
    <xf numFmtId="0" fontId="12" fillId="0" borderId="121" xfId="3" applyBorder="1" applyAlignment="1">
      <alignment vertical="center"/>
    </xf>
    <xf numFmtId="0" fontId="10" fillId="0" borderId="120" xfId="1" applyFont="1" applyBorder="1" applyAlignment="1">
      <alignment horizontal="center" vertical="center"/>
    </xf>
    <xf numFmtId="0" fontId="10" fillId="0" borderId="52" xfId="1" quotePrefix="1" applyFont="1" applyBorder="1" applyAlignment="1">
      <alignment horizontal="center" vertical="center"/>
    </xf>
    <xf numFmtId="0" fontId="10" fillId="0" borderId="122" xfId="1" quotePrefix="1" applyFont="1" applyBorder="1" applyAlignment="1">
      <alignment horizontal="center" vertical="center"/>
    </xf>
    <xf numFmtId="0" fontId="11" fillId="0" borderId="121" xfId="1" applyBorder="1" applyAlignment="1">
      <alignment horizontal="left" vertical="center"/>
    </xf>
    <xf numFmtId="0" fontId="11" fillId="0" borderId="92" xfId="1" applyBorder="1" applyAlignment="1">
      <alignment horizontal="left" vertical="center"/>
    </xf>
    <xf numFmtId="0" fontId="11" fillId="0" borderId="92" xfId="1" applyFont="1" applyBorder="1" applyAlignment="1">
      <alignment horizontal="left" vertical="center"/>
    </xf>
    <xf numFmtId="0" fontId="11" fillId="0" borderId="122" xfId="1" applyBorder="1" applyAlignment="1">
      <alignment horizontal="left" vertical="center"/>
    </xf>
    <xf numFmtId="0" fontId="11" fillId="0" borderId="92" xfId="1" applyFont="1" applyFill="1" applyBorder="1" applyAlignment="1">
      <alignment horizontal="left"/>
    </xf>
    <xf numFmtId="0" fontId="11" fillId="0" borderId="122" xfId="1" applyFont="1" applyFill="1" applyBorder="1" applyAlignment="1">
      <alignment horizontal="left"/>
    </xf>
    <xf numFmtId="0" fontId="11" fillId="0" borderId="92" xfId="1" applyFill="1" applyBorder="1" applyAlignment="1">
      <alignment horizontal="left"/>
    </xf>
    <xf numFmtId="0" fontId="11" fillId="0" borderId="92" xfId="1" applyFill="1" applyBorder="1" applyAlignment="1">
      <alignment horizontal="left" vertical="center"/>
    </xf>
    <xf numFmtId="0" fontId="11" fillId="0" borderId="56" xfId="1" applyBorder="1" applyAlignment="1">
      <alignment horizontal="left" vertical="center"/>
    </xf>
    <xf numFmtId="0" fontId="10" fillId="0" borderId="121" xfId="1" applyFont="1" applyBorder="1" applyAlignment="1">
      <alignment horizontal="center" vertical="center"/>
    </xf>
    <xf numFmtId="0" fontId="10" fillId="0" borderId="92" xfId="1" applyFont="1" applyBorder="1" applyAlignment="1">
      <alignment horizontal="center" vertical="center"/>
    </xf>
    <xf numFmtId="0" fontId="10" fillId="0" borderId="122" xfId="1" applyFont="1" applyBorder="1" applyAlignment="1">
      <alignment horizontal="center" vertical="center"/>
    </xf>
    <xf numFmtId="0" fontId="0" fillId="0" borderId="92" xfId="0" applyFont="1" applyBorder="1" applyAlignment="1">
      <alignment horizontal="center" vertical="center"/>
    </xf>
    <xf numFmtId="0" fontId="10" fillId="0" borderId="102" xfId="1" applyFont="1" applyBorder="1" applyAlignment="1">
      <alignment horizontal="center" vertical="center"/>
    </xf>
    <xf numFmtId="0" fontId="10" fillId="5" borderId="121" xfId="1" applyFont="1" applyFill="1" applyBorder="1" applyAlignment="1">
      <alignment horizontal="center" vertical="center"/>
    </xf>
    <xf numFmtId="0" fontId="10" fillId="27" borderId="102" xfId="1" applyFont="1" applyFill="1" applyBorder="1" applyAlignment="1">
      <alignment horizontal="center" vertical="center"/>
    </xf>
    <xf numFmtId="0" fontId="10" fillId="23" borderId="121" xfId="1" applyFont="1" applyFill="1" applyBorder="1" applyAlignment="1">
      <alignment horizontal="center" vertical="center"/>
    </xf>
    <xf numFmtId="0" fontId="10" fillId="9" borderId="56" xfId="1" applyFont="1" applyFill="1" applyBorder="1" applyAlignment="1">
      <alignment horizontal="center" vertical="center"/>
    </xf>
    <xf numFmtId="0" fontId="10" fillId="29" borderId="92" xfId="1" applyFont="1" applyFill="1" applyBorder="1" applyAlignment="1">
      <alignment horizontal="center" vertical="center"/>
    </xf>
    <xf numFmtId="0" fontId="10" fillId="13" borderId="92" xfId="1" applyFont="1" applyFill="1" applyBorder="1" applyAlignment="1">
      <alignment horizontal="center" vertical="center"/>
    </xf>
    <xf numFmtId="0" fontId="10" fillId="9" borderId="92" xfId="1" applyFont="1" applyFill="1" applyBorder="1" applyAlignment="1">
      <alignment horizontal="center" vertical="center"/>
    </xf>
    <xf numFmtId="0" fontId="10" fillId="10" borderId="92" xfId="1" quotePrefix="1" applyFont="1" applyFill="1" applyBorder="1" applyAlignment="1">
      <alignment horizontal="center" vertical="center"/>
    </xf>
    <xf numFmtId="0" fontId="10" fillId="18" borderId="122" xfId="1" applyFont="1" applyFill="1" applyBorder="1" applyAlignment="1">
      <alignment horizontal="center" vertical="center"/>
    </xf>
    <xf numFmtId="0" fontId="10" fillId="5" borderId="52" xfId="1" applyFont="1" applyFill="1" applyBorder="1" applyAlignment="1">
      <alignment horizontal="center" vertical="center"/>
    </xf>
    <xf numFmtId="0" fontId="10" fillId="23" borderId="92" xfId="1" applyFont="1" applyFill="1" applyBorder="1" applyAlignment="1">
      <alignment horizontal="center" vertical="center"/>
    </xf>
    <xf numFmtId="0" fontId="10" fillId="0" borderId="54" xfId="1" applyFont="1" applyBorder="1" applyAlignment="1">
      <alignment horizontal="center" vertical="center"/>
    </xf>
    <xf numFmtId="0" fontId="10" fillId="0" borderId="132" xfId="1" applyFont="1" applyBorder="1" applyAlignment="1">
      <alignment horizontal="center" vertical="center"/>
    </xf>
    <xf numFmtId="164" fontId="10" fillId="0" borderId="120" xfId="1" applyNumberFormat="1" applyFont="1" applyFill="1" applyBorder="1" applyAlignment="1">
      <alignment horizontal="center" vertical="center"/>
    </xf>
    <xf numFmtId="0" fontId="10" fillId="0" borderId="132" xfId="1" applyFont="1" applyFill="1" applyBorder="1" applyAlignment="1">
      <alignment horizontal="center" vertical="center"/>
    </xf>
    <xf numFmtId="0" fontId="10" fillId="0" borderId="102" xfId="1" applyFont="1" applyFill="1" applyBorder="1" applyAlignment="1">
      <alignment horizontal="center" vertical="center"/>
    </xf>
    <xf numFmtId="0" fontId="10" fillId="5" borderId="102" xfId="1" applyFont="1" applyFill="1" applyBorder="1" applyAlignment="1">
      <alignment horizontal="center" vertical="center"/>
    </xf>
    <xf numFmtId="0" fontId="0" fillId="0" borderId="102" xfId="0" applyFont="1" applyBorder="1" applyAlignment="1">
      <alignment horizontal="center"/>
    </xf>
    <xf numFmtId="0" fontId="0" fillId="0" borderId="121" xfId="0" applyFont="1" applyBorder="1" applyAlignment="1">
      <alignment horizontal="center"/>
    </xf>
    <xf numFmtId="0" fontId="0" fillId="0" borderId="92" xfId="0" applyFont="1" applyBorder="1" applyAlignment="1">
      <alignment horizontal="center"/>
    </xf>
    <xf numFmtId="0" fontId="0" fillId="0" borderId="122" xfId="0" applyFont="1" applyBorder="1" applyAlignment="1">
      <alignment horizontal="center"/>
    </xf>
    <xf numFmtId="0" fontId="2" fillId="15" borderId="102" xfId="0" applyFont="1" applyFill="1" applyBorder="1" applyAlignment="1">
      <alignment horizontal="center"/>
    </xf>
    <xf numFmtId="0" fontId="5" fillId="0" borderId="56" xfId="0" applyFont="1" applyBorder="1" applyAlignment="1">
      <alignment horizontal="center"/>
    </xf>
    <xf numFmtId="0" fontId="13" fillId="0" borderId="92" xfId="1" applyFont="1" applyBorder="1" applyAlignment="1">
      <alignment horizontal="center"/>
    </xf>
    <xf numFmtId="0" fontId="5" fillId="0" borderId="52" xfId="0" applyFont="1" applyBorder="1" applyAlignment="1">
      <alignment horizontal="center"/>
    </xf>
    <xf numFmtId="0" fontId="10" fillId="0" borderId="92" xfId="1" applyFont="1" applyBorder="1" applyAlignment="1">
      <alignment horizontal="center"/>
    </xf>
    <xf numFmtId="0" fontId="11" fillId="0" borderId="52" xfId="1" applyBorder="1" applyAlignment="1">
      <alignment horizontal="center"/>
    </xf>
    <xf numFmtId="0" fontId="5" fillId="0" borderId="102" xfId="0" applyFont="1" applyBorder="1" applyAlignment="1">
      <alignment horizontal="center"/>
    </xf>
    <xf numFmtId="0" fontId="5" fillId="0" borderId="121" xfId="0" applyFont="1" applyBorder="1" applyAlignment="1">
      <alignment horizontal="center"/>
    </xf>
    <xf numFmtId="0" fontId="5" fillId="0" borderId="132" xfId="0" applyFont="1" applyBorder="1" applyAlignment="1">
      <alignment horizontal="center"/>
    </xf>
    <xf numFmtId="0" fontId="13" fillId="20" borderId="92" xfId="1" applyFont="1" applyFill="1" applyBorder="1" applyAlignment="1">
      <alignment horizontal="center"/>
    </xf>
    <xf numFmtId="0" fontId="11" fillId="5" borderId="92" xfId="1" applyFill="1" applyBorder="1" applyAlignment="1">
      <alignment horizontal="center"/>
    </xf>
    <xf numFmtId="0" fontId="11" fillId="0" borderId="92" xfId="1" applyBorder="1" applyAlignment="1">
      <alignment horizontal="center"/>
    </xf>
    <xf numFmtId="0" fontId="5" fillId="5" borderId="121" xfId="0" applyFont="1" applyFill="1" applyBorder="1" applyAlignment="1">
      <alignment horizontal="center"/>
    </xf>
    <xf numFmtId="0" fontId="0" fillId="20" borderId="122" xfId="0" applyFont="1" applyFill="1" applyBorder="1" applyAlignment="1">
      <alignment horizontal="center"/>
    </xf>
    <xf numFmtId="0" fontId="14" fillId="15" borderId="102" xfId="0" applyFont="1" applyFill="1" applyBorder="1" applyAlignment="1">
      <alignment horizontal="center"/>
    </xf>
    <xf numFmtId="0" fontId="11" fillId="0" borderId="122" xfId="1" applyBorder="1" applyAlignment="1">
      <alignment horizontal="center"/>
    </xf>
    <xf numFmtId="0" fontId="0" fillId="0" borderId="56" xfId="0" applyFont="1" applyBorder="1" applyAlignment="1">
      <alignment horizontal="center"/>
    </xf>
    <xf numFmtId="0" fontId="0" fillId="0" borderId="52" xfId="0" applyFont="1" applyBorder="1" applyAlignment="1">
      <alignment horizontal="center"/>
    </xf>
    <xf numFmtId="0" fontId="10" fillId="0" borderId="92" xfId="1" applyFont="1" applyBorder="1" applyAlignment="1">
      <alignment horizontal="left" vertical="center"/>
    </xf>
    <xf numFmtId="0" fontId="10" fillId="0" borderId="122" xfId="1" applyFont="1" applyBorder="1" applyAlignment="1">
      <alignment horizontal="left" vertical="center"/>
    </xf>
    <xf numFmtId="0" fontId="10" fillId="0" borderId="92" xfId="1" quotePrefix="1" applyFont="1" applyBorder="1" applyAlignment="1">
      <alignment horizontal="left" vertical="center"/>
    </xf>
    <xf numFmtId="0" fontId="5" fillId="0" borderId="102" xfId="0" applyFont="1" applyBorder="1" applyAlignment="1">
      <alignment wrapText="1"/>
    </xf>
    <xf numFmtId="0" fontId="13" fillId="0" borderId="27" xfId="1" applyFont="1" applyBorder="1" applyAlignment="1">
      <alignment horizontal="left" vertical="center"/>
    </xf>
    <xf numFmtId="0" fontId="13" fillId="0" borderId="28" xfId="1" applyFont="1" applyBorder="1" applyAlignment="1">
      <alignment horizontal="left" vertical="center"/>
    </xf>
    <xf numFmtId="0" fontId="4" fillId="0" borderId="21" xfId="2" applyFont="1" applyBorder="1" applyAlignment="1">
      <alignment vertical="center"/>
    </xf>
    <xf numFmtId="0" fontId="10" fillId="0" borderId="25" xfId="1" applyFont="1" applyFill="1" applyBorder="1" applyAlignment="1">
      <alignment horizontal="center" vertical="center"/>
    </xf>
    <xf numFmtId="0" fontId="5" fillId="0" borderId="28" xfId="0" applyFont="1" applyBorder="1" applyAlignment="1">
      <alignment horizontal="center"/>
    </xf>
    <xf numFmtId="0" fontId="12" fillId="0" borderId="38" xfId="3" applyFill="1" applyBorder="1" applyAlignment="1">
      <alignment vertical="center" wrapText="1"/>
    </xf>
    <xf numFmtId="0" fontId="12" fillId="0" borderId="33" xfId="3" applyFill="1" applyBorder="1" applyAlignment="1">
      <alignment vertical="center" wrapText="1"/>
    </xf>
    <xf numFmtId="0" fontId="11" fillId="0" borderId="33" xfId="1" applyBorder="1" applyAlignment="1">
      <alignment vertical="center" wrapText="1"/>
    </xf>
    <xf numFmtId="0" fontId="5" fillId="0" borderId="31" xfId="0" applyFont="1" applyFill="1" applyBorder="1"/>
    <xf numFmtId="0" fontId="13" fillId="0" borderId="25" xfId="1" applyFont="1" applyFill="1" applyBorder="1" applyAlignment="1">
      <alignment horizontal="left"/>
    </xf>
    <xf numFmtId="0" fontId="11" fillId="0" borderId="23" xfId="1" applyFill="1" applyBorder="1" applyAlignment="1">
      <alignment horizontal="left"/>
    </xf>
    <xf numFmtId="0" fontId="10" fillId="10" borderId="23" xfId="1" quotePrefix="1" applyFont="1" applyFill="1" applyBorder="1" applyAlignment="1">
      <alignment horizontal="center" vertical="center"/>
    </xf>
    <xf numFmtId="0" fontId="10" fillId="0" borderId="40" xfId="1" applyFont="1" applyBorder="1" applyAlignment="1">
      <alignment horizontal="center" vertical="center"/>
    </xf>
    <xf numFmtId="0" fontId="10" fillId="0" borderId="35" xfId="1" applyFont="1" applyFill="1" applyBorder="1" applyAlignment="1">
      <alignment horizontal="center" vertical="center"/>
    </xf>
    <xf numFmtId="0" fontId="10" fillId="0" borderId="35" xfId="1" applyFont="1" applyBorder="1" applyAlignment="1">
      <alignment horizontal="center" vertical="center"/>
    </xf>
    <xf numFmtId="0" fontId="0" fillId="0" borderId="41" xfId="0" applyFont="1" applyFill="1" applyBorder="1" applyAlignment="1"/>
    <xf numFmtId="0" fontId="7" fillId="10" borderId="54" xfId="4" applyFont="1" applyFill="1" applyBorder="1" applyAlignment="1">
      <alignment horizontal="left" vertical="center"/>
    </xf>
    <xf numFmtId="0" fontId="27" fillId="10" borderId="54" xfId="4" applyFont="1" applyFill="1" applyBorder="1" applyAlignment="1">
      <alignment horizontal="left" vertical="center"/>
    </xf>
    <xf numFmtId="0" fontId="11" fillId="0" borderId="1" xfId="1" applyFill="1" applyBorder="1"/>
    <xf numFmtId="0" fontId="11" fillId="0" borderId="20" xfId="1" applyFill="1" applyBorder="1"/>
    <xf numFmtId="0" fontId="11" fillId="0" borderId="66" xfId="1" applyFill="1" applyBorder="1"/>
    <xf numFmtId="0" fontId="26" fillId="0" borderId="23" xfId="1" applyFont="1" applyFill="1" applyBorder="1"/>
    <xf numFmtId="0" fontId="28" fillId="0" borderId="65" xfId="3" applyFont="1" applyBorder="1" applyAlignment="1">
      <alignment vertical="center"/>
    </xf>
    <xf numFmtId="0" fontId="28" fillId="0" borderId="65" xfId="3" applyFont="1" applyBorder="1" applyAlignment="1">
      <alignment vertical="center" wrapText="1"/>
    </xf>
    <xf numFmtId="0" fontId="29" fillId="0" borderId="34" xfId="1" applyFont="1" applyFill="1" applyBorder="1" applyAlignment="1">
      <alignment vertical="center"/>
    </xf>
    <xf numFmtId="0" fontId="28" fillId="0" borderId="34" xfId="3" applyFont="1" applyFill="1" applyBorder="1" applyAlignment="1">
      <alignment vertical="center"/>
    </xf>
    <xf numFmtId="0" fontId="28" fillId="0" borderId="34" xfId="3" applyFont="1" applyBorder="1" applyAlignment="1">
      <alignment horizontal="justify" vertical="center"/>
    </xf>
    <xf numFmtId="0" fontId="29" fillId="0" borderId="34" xfId="1" applyFont="1" applyBorder="1" applyAlignment="1">
      <alignment horizontal="justify" vertical="center"/>
    </xf>
    <xf numFmtId="0" fontId="7" fillId="0" borderId="135" xfId="0" applyFont="1" applyFill="1" applyBorder="1" applyAlignment="1">
      <alignment horizontal="left"/>
    </xf>
    <xf numFmtId="0" fontId="7" fillId="0" borderId="136" xfId="0" applyFont="1" applyFill="1" applyBorder="1" applyAlignment="1">
      <alignment horizontal="left"/>
    </xf>
    <xf numFmtId="0" fontId="7" fillId="0" borderId="135" xfId="0" applyFont="1" applyFill="1" applyBorder="1" applyAlignment="1">
      <alignment horizontal="center"/>
    </xf>
    <xf numFmtId="0" fontId="7" fillId="0" borderId="136" xfId="0" applyFont="1" applyFill="1" applyBorder="1" applyAlignment="1">
      <alignment horizontal="center"/>
    </xf>
    <xf numFmtId="0" fontId="0" fillId="0" borderId="137" xfId="0" applyFont="1" applyFill="1" applyBorder="1" applyAlignment="1">
      <alignment horizontal="center"/>
    </xf>
    <xf numFmtId="0" fontId="28" fillId="0" borderId="133" xfId="3" applyFont="1" applyBorder="1" applyAlignment="1">
      <alignment vertical="center"/>
    </xf>
    <xf numFmtId="0" fontId="29" fillId="0" borderId="133" xfId="1" applyFont="1" applyBorder="1" applyAlignment="1">
      <alignment vertical="center"/>
    </xf>
    <xf numFmtId="0" fontId="28" fillId="0" borderId="134" xfId="3" applyFont="1" applyBorder="1" applyAlignment="1">
      <alignment vertical="center"/>
    </xf>
    <xf numFmtId="0" fontId="29" fillId="0" borderId="135" xfId="1" applyFont="1" applyFill="1" applyBorder="1" applyAlignment="1">
      <alignment vertical="center"/>
    </xf>
    <xf numFmtId="0" fontId="7" fillId="0" borderId="135" xfId="0" applyFont="1" applyFill="1" applyBorder="1" applyAlignment="1">
      <alignment vertical="center"/>
    </xf>
    <xf numFmtId="0" fontId="28" fillId="0" borderId="135" xfId="3" applyFont="1" applyBorder="1" applyAlignment="1">
      <alignment vertical="center"/>
    </xf>
    <xf numFmtId="0" fontId="30" fillId="0" borderId="135" xfId="2" applyFont="1" applyBorder="1" applyAlignment="1">
      <alignment vertical="center"/>
    </xf>
    <xf numFmtId="0" fontId="29" fillId="0" borderId="136" xfId="1" applyFont="1" applyFill="1" applyBorder="1" applyAlignment="1">
      <alignment vertical="center"/>
    </xf>
    <xf numFmtId="0" fontId="0" fillId="0" borderId="74" xfId="0" applyFont="1" applyFill="1" applyBorder="1" applyAlignment="1">
      <alignment horizontal="center"/>
    </xf>
    <xf numFmtId="0" fontId="28" fillId="0" borderId="118" xfId="3" applyFont="1" applyBorder="1" applyAlignment="1">
      <alignment vertical="center" wrapText="1"/>
    </xf>
    <xf numFmtId="0" fontId="29" fillId="0" borderId="55" xfId="1" applyFont="1" applyFill="1" applyBorder="1" applyAlignment="1">
      <alignment vertical="center"/>
    </xf>
    <xf numFmtId="0" fontId="28" fillId="0" borderId="55" xfId="3" applyFont="1" applyBorder="1" applyAlignment="1">
      <alignment horizontal="justify" vertical="center"/>
    </xf>
    <xf numFmtId="0" fontId="0" fillId="0" borderId="138" xfId="0" applyFont="1" applyFill="1" applyBorder="1" applyAlignment="1">
      <alignment horizontal="center"/>
    </xf>
    <xf numFmtId="0" fontId="28" fillId="0" borderId="139" xfId="3" applyFont="1" applyBorder="1" applyAlignment="1">
      <alignment vertical="center"/>
    </xf>
    <xf numFmtId="0" fontId="7" fillId="0" borderId="140" xfId="0" applyFont="1" applyFill="1" applyBorder="1" applyAlignment="1">
      <alignment horizontal="left"/>
    </xf>
    <xf numFmtId="0" fontId="28" fillId="0" borderId="140" xfId="3" applyFont="1" applyFill="1" applyBorder="1" applyAlignment="1">
      <alignment vertical="center"/>
    </xf>
    <xf numFmtId="0" fontId="7" fillId="0" borderId="140" xfId="0" applyFont="1" applyFill="1" applyBorder="1" applyAlignment="1">
      <alignment horizontal="center"/>
    </xf>
    <xf numFmtId="0" fontId="0" fillId="0" borderId="141" xfId="0" applyFont="1" applyFill="1" applyBorder="1" applyAlignment="1">
      <alignment horizontal="center"/>
    </xf>
    <xf numFmtId="0" fontId="0" fillId="0" borderId="141" xfId="0" applyFont="1" applyFill="1" applyBorder="1" applyAlignment="1">
      <alignment horizontal="left"/>
    </xf>
    <xf numFmtId="0" fontId="0" fillId="0" borderId="55" xfId="0" applyFont="1" applyFill="1" applyBorder="1" applyAlignment="1">
      <alignment horizontal="center"/>
    </xf>
    <xf numFmtId="0" fontId="5" fillId="0" borderId="70" xfId="0" applyFont="1" applyFill="1" applyBorder="1"/>
    <xf numFmtId="0" fontId="7" fillId="0" borderId="45" xfId="0" applyFont="1" applyFill="1" applyBorder="1"/>
    <xf numFmtId="0" fontId="5" fillId="0" borderId="81" xfId="0" applyFont="1" applyFill="1" applyBorder="1"/>
    <xf numFmtId="0" fontId="7" fillId="0" borderId="142" xfId="0" applyFont="1" applyFill="1" applyBorder="1"/>
    <xf numFmtId="0" fontId="7" fillId="0" borderId="45" xfId="0" applyFont="1" applyFill="1" applyBorder="1" applyAlignment="1">
      <alignment vertical="center"/>
    </xf>
    <xf numFmtId="0" fontId="5" fillId="0" borderId="45" xfId="0" applyFont="1" applyFill="1" applyBorder="1"/>
    <xf numFmtId="0" fontId="5" fillId="0" borderId="142" xfId="0" applyFont="1" applyFill="1" applyBorder="1"/>
    <xf numFmtId="0" fontId="0" fillId="0" borderId="70" xfId="0" applyFont="1" applyFill="1" applyBorder="1"/>
    <xf numFmtId="0" fontId="29" fillId="20" borderId="109" xfId="1" applyFont="1" applyFill="1" applyBorder="1" applyAlignment="1">
      <alignment horizontal="left"/>
    </xf>
    <xf numFmtId="0" fontId="29" fillId="20" borderId="110" xfId="1" applyFont="1" applyFill="1" applyBorder="1" applyAlignment="1">
      <alignment horizontal="left"/>
    </xf>
    <xf numFmtId="0" fontId="29" fillId="20" borderId="34" xfId="1" applyFont="1" applyFill="1" applyBorder="1" applyAlignment="1">
      <alignment horizontal="left"/>
    </xf>
    <xf numFmtId="0" fontId="29" fillId="20" borderId="91" xfId="1" applyFont="1" applyFill="1" applyBorder="1" applyAlignment="1">
      <alignment horizontal="left"/>
    </xf>
    <xf numFmtId="0" fontId="16" fillId="0" borderId="1" xfId="4" applyFont="1" applyBorder="1" applyAlignment="1">
      <alignment horizontal="left"/>
    </xf>
    <xf numFmtId="0" fontId="0" fillId="0" borderId="1" xfId="4" applyFont="1" applyBorder="1" applyAlignment="1">
      <alignment horizontal="left"/>
    </xf>
    <xf numFmtId="0" fontId="5" fillId="6" borderId="46" xfId="0" applyFont="1" applyFill="1" applyBorder="1" applyAlignment="1"/>
    <xf numFmtId="0" fontId="5" fillId="14" borderId="43" xfId="0" applyFont="1" applyFill="1" applyBorder="1" applyAlignment="1">
      <alignment horizontal="center"/>
    </xf>
    <xf numFmtId="0" fontId="5" fillId="0" borderId="57" xfId="4" applyFont="1" applyBorder="1" applyAlignment="1">
      <alignment horizontal="center"/>
    </xf>
    <xf numFmtId="0" fontId="5" fillId="0" borderId="35" xfId="4" applyFont="1" applyBorder="1" applyAlignment="1">
      <alignment horizontal="center"/>
    </xf>
    <xf numFmtId="0" fontId="0" fillId="0" borderId="48" xfId="4" applyFont="1" applyBorder="1" applyAlignment="1">
      <alignment horizontal="center"/>
    </xf>
    <xf numFmtId="0" fontId="26" fillId="0" borderId="42" xfId="1" applyFont="1" applyBorder="1" applyAlignment="1">
      <alignment horizontal="center" vertical="center"/>
    </xf>
    <xf numFmtId="0" fontId="26" fillId="0" borderId="43" xfId="1" applyFont="1" applyBorder="1" applyAlignment="1">
      <alignment horizontal="center" vertical="center"/>
    </xf>
    <xf numFmtId="0" fontId="31" fillId="0" borderId="43" xfId="3" applyFont="1" applyFill="1" applyBorder="1" applyAlignment="1">
      <alignment horizontal="center" vertical="center"/>
    </xf>
    <xf numFmtId="0" fontId="31" fillId="0" borderId="43" xfId="3" applyFont="1" applyBorder="1" applyAlignment="1">
      <alignment horizontal="center" vertical="center"/>
    </xf>
    <xf numFmtId="0" fontId="31" fillId="0" borderId="44" xfId="3" applyFont="1" applyBorder="1" applyAlignment="1">
      <alignment horizontal="center" vertical="center"/>
    </xf>
    <xf numFmtId="0" fontId="0" fillId="0" borderId="1" xfId="4" applyFont="1" applyBorder="1" applyAlignment="1"/>
    <xf numFmtId="0" fontId="12" fillId="0" borderId="42" xfId="3" applyBorder="1" applyAlignment="1">
      <alignment vertical="center" wrapText="1"/>
    </xf>
    <xf numFmtId="0" fontId="12" fillId="0" borderId="44" xfId="3" applyBorder="1" applyAlignment="1">
      <alignment vertical="center" wrapText="1"/>
    </xf>
    <xf numFmtId="0" fontId="6" fillId="0" borderId="70" xfId="0" applyFont="1" applyFill="1" applyBorder="1" applyAlignment="1">
      <alignment wrapText="1"/>
    </xf>
    <xf numFmtId="0" fontId="0" fillId="0" borderId="34" xfId="0" applyFill="1" applyBorder="1"/>
    <xf numFmtId="0" fontId="3" fillId="0" borderId="33" xfId="2" applyFont="1" applyFill="1" applyBorder="1" applyAlignment="1">
      <alignment horizontal="center" vertical="center"/>
    </xf>
    <xf numFmtId="0" fontId="5" fillId="0" borderId="23" xfId="0" applyFont="1" applyFill="1" applyBorder="1" applyAlignment="1">
      <alignment horizontal="center"/>
    </xf>
    <xf numFmtId="0" fontId="16" fillId="0" borderId="1" xfId="4" applyFont="1" applyBorder="1" applyAlignment="1">
      <alignment horizontal="left"/>
    </xf>
    <xf numFmtId="0" fontId="0" fillId="15" borderId="9" xfId="0" applyFont="1" applyFill="1" applyBorder="1" applyAlignment="1">
      <alignment horizontal="center"/>
    </xf>
    <xf numFmtId="0" fontId="0" fillId="15" borderId="10" xfId="0" applyFont="1" applyFill="1" applyBorder="1" applyAlignment="1">
      <alignment horizontal="center"/>
    </xf>
    <xf numFmtId="0" fontId="0" fillId="8" borderId="10" xfId="0" applyFont="1" applyFill="1" applyBorder="1" applyAlignment="1">
      <alignment horizontal="center"/>
    </xf>
    <xf numFmtId="0" fontId="0" fillId="8" borderId="11" xfId="0" applyFont="1" applyFill="1" applyBorder="1" applyAlignment="1">
      <alignment horizontal="center"/>
    </xf>
    <xf numFmtId="0" fontId="0" fillId="8" borderId="1" xfId="0" applyFont="1" applyFill="1" applyBorder="1" applyAlignment="1">
      <alignment horizontal="left"/>
    </xf>
    <xf numFmtId="0" fontId="0" fillId="8" borderId="95" xfId="0" applyFont="1" applyFill="1" applyBorder="1" applyAlignment="1">
      <alignment horizontal="left"/>
    </xf>
    <xf numFmtId="0" fontId="0" fillId="20" borderId="64" xfId="0" applyFont="1" applyFill="1" applyBorder="1" applyAlignment="1"/>
    <xf numFmtId="0" fontId="0" fillId="20" borderId="1" xfId="0" applyFont="1" applyFill="1" applyBorder="1" applyAlignment="1"/>
    <xf numFmtId="0" fontId="0" fillId="20" borderId="95" xfId="0" applyFont="1" applyFill="1" applyBorder="1" applyAlignment="1"/>
    <xf numFmtId="0" fontId="5" fillId="0" borderId="0" xfId="0" applyFont="1" applyAlignment="1">
      <alignment horizontal="center"/>
    </xf>
    <xf numFmtId="0" fontId="16" fillId="25" borderId="92" xfId="0" applyFont="1" applyFill="1" applyBorder="1" applyAlignment="1">
      <alignment horizontal="center" vertical="center"/>
    </xf>
    <xf numFmtId="0" fontId="16" fillId="25" borderId="100" xfId="0" applyFont="1" applyFill="1" applyBorder="1" applyAlignment="1">
      <alignment horizontal="center" vertical="center"/>
    </xf>
    <xf numFmtId="0" fontId="16" fillId="25" borderId="100" xfId="0" applyFont="1" applyFill="1" applyBorder="1" applyAlignment="1">
      <alignment vertical="center"/>
    </xf>
    <xf numFmtId="0" fontId="16" fillId="25" borderId="20" xfId="0" applyFont="1" applyFill="1" applyBorder="1" applyAlignment="1">
      <alignment horizontal="center" vertical="center"/>
    </xf>
    <xf numFmtId="0" fontId="16" fillId="25" borderId="20" xfId="0" applyFont="1" applyFill="1" applyBorder="1" applyAlignment="1">
      <alignment vertical="center"/>
    </xf>
    <xf numFmtId="0" fontId="16" fillId="11" borderId="33" xfId="0" applyFont="1" applyFill="1" applyBorder="1" applyAlignment="1">
      <alignment horizontal="center" vertical="center"/>
    </xf>
    <xf numFmtId="0" fontId="0" fillId="0" borderId="34" xfId="4" applyFont="1" applyBorder="1" applyAlignment="1">
      <alignment horizontal="center" vertical="center"/>
    </xf>
    <xf numFmtId="0" fontId="16" fillId="27" borderId="35" xfId="0" applyFont="1" applyFill="1" applyBorder="1" applyAlignment="1">
      <alignment horizontal="center" vertical="center"/>
    </xf>
    <xf numFmtId="0" fontId="16" fillId="11" borderId="33" xfId="0" applyFont="1" applyFill="1" applyBorder="1" applyAlignment="1">
      <alignment vertical="center"/>
    </xf>
    <xf numFmtId="0" fontId="19" fillId="25" borderId="65" xfId="3" applyFont="1" applyFill="1" applyBorder="1" applyAlignment="1">
      <alignment horizontal="center" vertical="center"/>
    </xf>
    <xf numFmtId="0" fontId="10" fillId="25" borderId="65" xfId="1" applyFont="1" applyFill="1" applyBorder="1" applyAlignment="1">
      <alignment horizontal="center" vertical="center"/>
    </xf>
    <xf numFmtId="0" fontId="19" fillId="25" borderId="66" xfId="3" applyFont="1" applyFill="1" applyBorder="1" applyAlignment="1">
      <alignment horizontal="center" vertical="center"/>
    </xf>
    <xf numFmtId="0" fontId="19" fillId="25" borderId="34" xfId="3" applyFont="1" applyFill="1" applyBorder="1" applyAlignment="1">
      <alignment horizontal="center" vertical="center"/>
    </xf>
    <xf numFmtId="0" fontId="10" fillId="25" borderId="34" xfId="1" applyFont="1" applyFill="1" applyBorder="1" applyAlignment="1">
      <alignment horizontal="center" vertical="center"/>
    </xf>
    <xf numFmtId="0" fontId="19" fillId="25" borderId="91" xfId="3" applyFont="1" applyFill="1" applyBorder="1" applyAlignment="1">
      <alignment horizontal="center" vertical="center"/>
    </xf>
    <xf numFmtId="0" fontId="11" fillId="0" borderId="33" xfId="1" applyBorder="1" applyAlignment="1">
      <alignment horizontal="left" vertical="center"/>
    </xf>
    <xf numFmtId="0" fontId="0" fillId="0" borderId="10" xfId="0" applyFont="1" applyBorder="1" applyAlignment="1"/>
    <xf numFmtId="0" fontId="0" fillId="0" borderId="25"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35" xfId="2" applyFont="1" applyBorder="1" applyAlignment="1">
      <alignment horizontal="center" vertical="center" wrapText="1"/>
    </xf>
    <xf numFmtId="0" fontId="0" fillId="0" borderId="41" xfId="0" applyFont="1" applyFill="1" applyBorder="1" applyAlignment="1">
      <alignment horizontal="center" vertical="center"/>
    </xf>
    <xf numFmtId="0" fontId="5" fillId="0" borderId="86" xfId="0" applyFont="1" applyFill="1" applyBorder="1"/>
    <xf numFmtId="0" fontId="0" fillId="0" borderId="93" xfId="0" applyFont="1" applyFill="1" applyBorder="1"/>
    <xf numFmtId="0" fontId="2" fillId="0" borderId="69" xfId="0" applyFont="1" applyFill="1" applyBorder="1"/>
    <xf numFmtId="0" fontId="3" fillId="0" borderId="40" xfId="2" applyFont="1" applyBorder="1" applyAlignment="1">
      <alignment horizontal="center" vertical="center" wrapText="1"/>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96" xfId="0" applyFont="1" applyFill="1" applyBorder="1" applyAlignment="1"/>
    <xf numFmtId="0" fontId="5" fillId="0" borderId="96" xfId="0" applyFont="1" applyFill="1" applyBorder="1"/>
    <xf numFmtId="0" fontId="2" fillId="15" borderId="43" xfId="0" quotePrefix="1" applyFont="1" applyFill="1" applyBorder="1" applyAlignment="1">
      <alignment horizontal="center"/>
    </xf>
    <xf numFmtId="0" fontId="0" fillId="22" borderId="20" xfId="0" applyFont="1" applyFill="1" applyBorder="1" applyAlignment="1">
      <alignment horizontal="center"/>
    </xf>
    <xf numFmtId="0" fontId="11" fillId="0" borderId="22" xfId="1" quotePrefix="1" applyFont="1" applyBorder="1" applyAlignment="1">
      <alignment horizontal="left" vertical="center"/>
    </xf>
    <xf numFmtId="0" fontId="11" fillId="0" borderId="20" xfId="1" quotePrefix="1" applyFill="1" applyBorder="1" applyAlignment="1">
      <alignment horizontal="left" vertical="center"/>
    </xf>
    <xf numFmtId="0" fontId="10" fillId="0" borderId="36" xfId="1" applyFont="1" applyBorder="1" applyAlignment="1">
      <alignment horizontal="center"/>
    </xf>
    <xf numFmtId="0" fontId="5" fillId="0" borderId="92" xfId="0" applyFont="1" applyBorder="1" applyAlignment="1">
      <alignment horizontal="center" vertical="center"/>
    </xf>
    <xf numFmtId="0" fontId="11" fillId="0" borderId="20" xfId="1" quotePrefix="1" applyFont="1" applyFill="1" applyBorder="1" applyAlignment="1">
      <alignment horizontal="left"/>
    </xf>
    <xf numFmtId="0" fontId="11" fillId="0" borderId="22" xfId="1" quotePrefix="1" applyFont="1" applyFill="1" applyBorder="1" applyAlignment="1">
      <alignment horizontal="left"/>
    </xf>
    <xf numFmtId="0" fontId="13" fillId="0" borderId="33" xfId="1" applyFont="1" applyFill="1" applyBorder="1" applyAlignment="1">
      <alignment horizontal="left"/>
    </xf>
    <xf numFmtId="0" fontId="0" fillId="22" borderId="27" xfId="0" applyFont="1" applyFill="1" applyBorder="1" applyAlignment="1">
      <alignment horizontal="center"/>
    </xf>
    <xf numFmtId="0" fontId="11" fillId="0" borderId="121" xfId="1" quotePrefix="1" applyBorder="1" applyAlignment="1">
      <alignment horizontal="left" vertical="center"/>
    </xf>
    <xf numFmtId="0" fontId="10" fillId="10" borderId="35" xfId="1" quotePrefix="1" applyFont="1" applyFill="1" applyBorder="1" applyAlignment="1">
      <alignment horizontal="center" vertical="center"/>
    </xf>
    <xf numFmtId="0" fontId="2" fillId="15" borderId="102" xfId="0" quotePrefix="1" applyFont="1" applyFill="1" applyBorder="1" applyAlignment="1">
      <alignment horizontal="center"/>
    </xf>
    <xf numFmtId="0" fontId="11" fillId="0" borderId="23" xfId="1" quotePrefix="1" applyFont="1" applyFill="1" applyBorder="1" applyAlignment="1">
      <alignment horizontal="left"/>
    </xf>
    <xf numFmtId="0" fontId="2" fillId="15" borderId="44" xfId="0" quotePrefix="1" applyFont="1" applyFill="1" applyBorder="1" applyAlignment="1">
      <alignment horizontal="center"/>
    </xf>
    <xf numFmtId="0" fontId="0" fillId="22" borderId="25" xfId="0" applyFont="1" applyFill="1" applyBorder="1" applyAlignment="1">
      <alignment horizontal="center"/>
    </xf>
    <xf numFmtId="0" fontId="11" fillId="0" borderId="22" xfId="1" quotePrefix="1" applyBorder="1" applyAlignment="1">
      <alignment horizontal="left" vertical="center"/>
    </xf>
    <xf numFmtId="0" fontId="11" fillId="0" borderId="121" xfId="1" applyFill="1" applyBorder="1" applyAlignment="1">
      <alignment horizontal="left"/>
    </xf>
    <xf numFmtId="0" fontId="16" fillId="0" borderId="1" xfId="4" applyFont="1" applyBorder="1" applyAlignment="1">
      <alignment horizontal="left"/>
    </xf>
    <xf numFmtId="0" fontId="5" fillId="0" borderId="1" xfId="0" applyFont="1" applyBorder="1" applyAlignment="1">
      <alignment horizontal="center" wrapText="1"/>
    </xf>
    <xf numFmtId="0" fontId="5" fillId="0" borderId="0" xfId="0" applyFont="1" applyAlignment="1">
      <alignment horizontal="center" wrapText="1"/>
    </xf>
    <xf numFmtId="0" fontId="10" fillId="0" borderId="25" xfId="1" applyFont="1" applyFill="1" applyBorder="1" applyAlignment="1">
      <alignment horizontal="left" vertical="center"/>
    </xf>
    <xf numFmtId="0" fontId="3" fillId="0" borderId="45" xfId="2" applyFont="1" applyFill="1" applyBorder="1" applyAlignment="1">
      <alignment vertical="center"/>
    </xf>
    <xf numFmtId="0" fontId="3" fillId="0" borderId="91" xfId="2" applyFont="1" applyFill="1" applyBorder="1" applyAlignment="1">
      <alignment vertical="center"/>
    </xf>
    <xf numFmtId="0" fontId="10" fillId="0" borderId="41" xfId="2" applyFont="1" applyFill="1" applyBorder="1" applyAlignment="1">
      <alignment vertical="center"/>
    </xf>
    <xf numFmtId="0" fontId="13" fillId="0" borderId="55" xfId="1" applyFont="1" applyFill="1" applyBorder="1" applyAlignment="1">
      <alignment vertical="center"/>
    </xf>
    <xf numFmtId="0" fontId="10" fillId="0" borderId="91" xfId="2" applyFont="1" applyFill="1" applyBorder="1" applyAlignment="1">
      <alignment vertical="center"/>
    </xf>
    <xf numFmtId="0" fontId="19" fillId="0" borderId="118" xfId="3" applyFont="1" applyFill="1" applyBorder="1" applyAlignment="1">
      <alignment horizontal="center" vertical="center"/>
    </xf>
    <xf numFmtId="0" fontId="19" fillId="0" borderId="53" xfId="3" applyFont="1" applyFill="1" applyBorder="1" applyAlignment="1">
      <alignment horizontal="center" vertical="center"/>
    </xf>
    <xf numFmtId="0" fontId="3" fillId="0" borderId="38" xfId="2" applyFont="1" applyFill="1" applyBorder="1" applyAlignment="1">
      <alignment horizontal="center" vertical="center"/>
    </xf>
    <xf numFmtId="0" fontId="19" fillId="0" borderId="47" xfId="3" applyFont="1" applyFill="1" applyBorder="1" applyAlignment="1">
      <alignment horizontal="center" vertical="center"/>
    </xf>
    <xf numFmtId="0" fontId="19" fillId="0" borderId="46" xfId="3" applyFont="1" applyFill="1" applyBorder="1" applyAlignment="1">
      <alignment horizontal="center" vertical="center"/>
    </xf>
    <xf numFmtId="0" fontId="19" fillId="6" borderId="47" xfId="3" applyFont="1" applyFill="1" applyBorder="1" applyAlignment="1">
      <alignment horizontal="center" vertical="center"/>
    </xf>
    <xf numFmtId="0" fontId="19" fillId="6" borderId="65" xfId="3" applyFont="1" applyFill="1" applyBorder="1" applyAlignment="1">
      <alignment horizontal="center" vertical="center"/>
    </xf>
    <xf numFmtId="0" fontId="10" fillId="6" borderId="65" xfId="1" applyFont="1" applyFill="1" applyBorder="1" applyAlignment="1">
      <alignment horizontal="center" vertical="center"/>
    </xf>
    <xf numFmtId="0" fontId="19" fillId="6" borderId="46" xfId="3" applyFont="1" applyFill="1" applyBorder="1" applyAlignment="1">
      <alignment horizontal="center" vertical="center"/>
    </xf>
    <xf numFmtId="0" fontId="19" fillId="6" borderId="34" xfId="3" applyFont="1" applyFill="1" applyBorder="1" applyAlignment="1">
      <alignment horizontal="center" vertical="center"/>
    </xf>
    <xf numFmtId="0" fontId="10" fillId="6" borderId="34" xfId="1" quotePrefix="1" applyFont="1" applyFill="1" applyBorder="1" applyAlignment="1">
      <alignment horizontal="center" vertical="center"/>
    </xf>
    <xf numFmtId="0" fontId="19" fillId="0" borderId="48" xfId="3" applyFont="1" applyFill="1" applyBorder="1" applyAlignment="1">
      <alignment horizontal="center" vertical="center"/>
    </xf>
    <xf numFmtId="0" fontId="19" fillId="0" borderId="65" xfId="3" quotePrefix="1" applyFont="1" applyFill="1" applyBorder="1" applyAlignment="1">
      <alignment horizontal="center" vertical="center"/>
    </xf>
    <xf numFmtId="0" fontId="19" fillId="0" borderId="34" xfId="3" quotePrefix="1" applyFont="1" applyFill="1" applyBorder="1" applyAlignment="1">
      <alignment horizontal="center" vertical="center"/>
    </xf>
    <xf numFmtId="0" fontId="19" fillId="9" borderId="46" xfId="3" applyFont="1" applyFill="1" applyBorder="1" applyAlignment="1">
      <alignment horizontal="center" vertical="center"/>
    </xf>
    <xf numFmtId="0" fontId="19" fillId="10" borderId="46" xfId="3" applyFont="1" applyFill="1" applyBorder="1" applyAlignment="1">
      <alignment horizontal="center" vertical="center"/>
    </xf>
    <xf numFmtId="0" fontId="19" fillId="9" borderId="34" xfId="3" applyFont="1" applyFill="1" applyBorder="1" applyAlignment="1">
      <alignment horizontal="center" vertical="center"/>
    </xf>
    <xf numFmtId="0" fontId="19" fillId="10" borderId="34" xfId="3" applyFont="1" applyFill="1" applyBorder="1" applyAlignment="1">
      <alignment horizontal="center" vertical="center"/>
    </xf>
    <xf numFmtId="0" fontId="13" fillId="9" borderId="55" xfId="1" applyFont="1" applyFill="1" applyBorder="1" applyAlignment="1">
      <alignment vertical="center"/>
    </xf>
    <xf numFmtId="0" fontId="11" fillId="9" borderId="46" xfId="1" applyFill="1" applyBorder="1" applyAlignment="1">
      <alignment vertical="center"/>
    </xf>
    <xf numFmtId="0" fontId="11" fillId="9" borderId="34" xfId="1" applyFill="1" applyBorder="1" applyAlignment="1">
      <alignment vertical="center"/>
    </xf>
    <xf numFmtId="0" fontId="11" fillId="10" borderId="46" xfId="1" applyFill="1" applyBorder="1" applyAlignment="1">
      <alignment vertical="center"/>
    </xf>
    <xf numFmtId="0" fontId="11" fillId="10" borderId="34" xfId="1" applyFill="1" applyBorder="1" applyAlignment="1">
      <alignment vertical="center"/>
    </xf>
    <xf numFmtId="0" fontId="11" fillId="14" borderId="34" xfId="1" applyFill="1" applyBorder="1" applyAlignment="1">
      <alignment vertical="center"/>
    </xf>
    <xf numFmtId="0" fontId="11" fillId="14" borderId="34" xfId="1" applyFill="1" applyBorder="1" applyAlignment="1"/>
    <xf numFmtId="0" fontId="10" fillId="14" borderId="34" xfId="0" applyFont="1" applyFill="1" applyBorder="1" applyAlignment="1"/>
    <xf numFmtId="0" fontId="19" fillId="14" borderId="33" xfId="3" applyFont="1" applyFill="1" applyBorder="1" applyAlignment="1">
      <alignment horizontal="center" vertical="center"/>
    </xf>
    <xf numFmtId="0" fontId="11" fillId="13" borderId="34" xfId="1" applyFill="1" applyBorder="1" applyAlignment="1">
      <alignment vertical="center"/>
    </xf>
    <xf numFmtId="0" fontId="19" fillId="13" borderId="46" xfId="3" applyFont="1" applyFill="1" applyBorder="1" applyAlignment="1">
      <alignment horizontal="center" vertical="center"/>
    </xf>
    <xf numFmtId="0" fontId="19" fillId="13" borderId="34" xfId="3" applyFont="1" applyFill="1" applyBorder="1" applyAlignment="1">
      <alignment horizontal="center" vertical="center"/>
    </xf>
    <xf numFmtId="0" fontId="10" fillId="13" borderId="34" xfId="1" quotePrefix="1" applyFont="1" applyFill="1" applyBorder="1" applyAlignment="1">
      <alignment horizontal="center" vertical="center"/>
    </xf>
    <xf numFmtId="0" fontId="10" fillId="0" borderId="33" xfId="1" applyFont="1" applyBorder="1" applyAlignment="1">
      <alignment horizontal="center"/>
    </xf>
    <xf numFmtId="0" fontId="5" fillId="0" borderId="33" xfId="0" applyFont="1" applyBorder="1" applyAlignment="1">
      <alignment horizontal="center"/>
    </xf>
    <xf numFmtId="0" fontId="10" fillId="0" borderId="39" xfId="1" applyFont="1" applyBorder="1" applyAlignment="1">
      <alignment horizontal="center"/>
    </xf>
    <xf numFmtId="0" fontId="10" fillId="0" borderId="22" xfId="1" applyFont="1" applyBorder="1" applyAlignment="1">
      <alignment horizontal="center"/>
    </xf>
    <xf numFmtId="0" fontId="11" fillId="0" borderId="22" xfId="1" applyBorder="1" applyAlignment="1">
      <alignment horizontal="center"/>
    </xf>
    <xf numFmtId="0" fontId="11" fillId="0" borderId="22" xfId="1" applyFont="1" applyBorder="1" applyAlignment="1">
      <alignment horizontal="center"/>
    </xf>
    <xf numFmtId="0" fontId="10" fillId="0" borderId="23" xfId="1" applyFont="1" applyBorder="1" applyAlignment="1">
      <alignment horizontal="center"/>
    </xf>
    <xf numFmtId="0" fontId="11" fillId="0" borderId="90" xfId="1" applyFill="1" applyBorder="1" applyAlignment="1">
      <alignment horizontal="left" wrapText="1"/>
    </xf>
    <xf numFmtId="0" fontId="0" fillId="5" borderId="26" xfId="0" applyFont="1" applyFill="1" applyBorder="1" applyAlignment="1">
      <alignment horizontal="center"/>
    </xf>
    <xf numFmtId="0" fontId="0" fillId="5" borderId="27" xfId="0" applyFont="1" applyFill="1" applyBorder="1" applyAlignment="1">
      <alignment horizontal="center"/>
    </xf>
    <xf numFmtId="0" fontId="0" fillId="5" borderId="65" xfId="0" applyFont="1" applyFill="1" applyBorder="1" applyAlignment="1">
      <alignment horizontal="center"/>
    </xf>
    <xf numFmtId="0" fontId="11" fillId="24" borderId="34" xfId="1" applyFill="1" applyBorder="1" applyAlignment="1">
      <alignment vertical="center"/>
    </xf>
    <xf numFmtId="0" fontId="16" fillId="0" borderId="1" xfId="4" applyFont="1" applyBorder="1" applyAlignment="1">
      <alignment horizontal="left"/>
    </xf>
    <xf numFmtId="0" fontId="16" fillId="13" borderId="1" xfId="4" applyFont="1" applyFill="1" applyBorder="1" applyAlignment="1">
      <alignment horizontal="center" vertical="center"/>
    </xf>
    <xf numFmtId="0" fontId="16" fillId="13" borderId="99" xfId="4" applyFont="1" applyFill="1" applyBorder="1" applyAlignment="1">
      <alignment horizontal="center" vertical="center"/>
    </xf>
    <xf numFmtId="0" fontId="15" fillId="26" borderId="100" xfId="4" applyFont="1" applyFill="1" applyBorder="1" applyAlignment="1">
      <alignment horizontal="center" vertical="center"/>
    </xf>
    <xf numFmtId="0" fontId="16" fillId="13" borderId="98" xfId="4" applyFont="1" applyFill="1" applyBorder="1" applyAlignment="1">
      <alignment horizontal="center" vertical="center"/>
    </xf>
    <xf numFmtId="0" fontId="10" fillId="9" borderId="89" xfId="1" applyFont="1" applyFill="1" applyBorder="1" applyAlignment="1">
      <alignment horizontal="center" vertical="center"/>
    </xf>
    <xf numFmtId="0" fontId="10" fillId="29" borderId="48" xfId="1" applyFont="1" applyFill="1" applyBorder="1" applyAlignment="1">
      <alignment horizontal="center" vertical="center"/>
    </xf>
    <xf numFmtId="0" fontId="10" fillId="0" borderId="24" xfId="1" quotePrefix="1" applyFont="1" applyBorder="1" applyAlignment="1">
      <alignment horizontal="center" vertical="center"/>
    </xf>
    <xf numFmtId="0" fontId="10" fillId="0" borderId="25" xfId="1" quotePrefix="1" applyFont="1" applyBorder="1" applyAlignment="1">
      <alignment horizontal="center" vertical="center"/>
    </xf>
    <xf numFmtId="0" fontId="10" fillId="9" borderId="33" xfId="1" applyFont="1" applyFill="1" applyBorder="1" applyAlignment="1">
      <alignment horizontal="center" vertical="center"/>
    </xf>
    <xf numFmtId="0" fontId="10" fillId="27" borderId="20" xfId="1" applyFont="1" applyFill="1" applyBorder="1" applyAlignment="1">
      <alignment horizontal="center" vertical="center"/>
    </xf>
    <xf numFmtId="0" fontId="0" fillId="28" borderId="52" xfId="0" applyFont="1" applyFill="1" applyBorder="1" applyAlignment="1">
      <alignment vertical="center"/>
    </xf>
    <xf numFmtId="0" fontId="0" fillId="28" borderId="98" xfId="4" applyFont="1" applyFill="1" applyBorder="1" applyAlignment="1">
      <alignment vertical="center"/>
    </xf>
    <xf numFmtId="0" fontId="0" fillId="28" borderId="98" xfId="0" applyFont="1" applyFill="1" applyBorder="1" applyAlignment="1">
      <alignment vertical="center"/>
    </xf>
    <xf numFmtId="0" fontId="0" fillId="28" borderId="98" xfId="4" applyFont="1" applyFill="1" applyBorder="1" applyAlignment="1">
      <alignment horizontal="left" vertical="center"/>
    </xf>
    <xf numFmtId="0" fontId="0" fillId="28" borderId="54" xfId="0" applyFont="1" applyFill="1" applyBorder="1" applyAlignment="1">
      <alignment vertical="center"/>
    </xf>
    <xf numFmtId="0" fontId="0" fillId="28" borderId="1" xfId="4" applyFont="1" applyFill="1" applyBorder="1" applyAlignment="1">
      <alignment vertical="center"/>
    </xf>
    <xf numFmtId="0" fontId="0" fillId="28" borderId="1" xfId="0" applyFont="1" applyFill="1" applyBorder="1" applyAlignment="1">
      <alignment vertical="center"/>
    </xf>
    <xf numFmtId="0" fontId="0" fillId="28" borderId="1" xfId="4" applyFont="1" applyFill="1" applyBorder="1" applyAlignment="1">
      <alignment horizontal="left" vertical="center"/>
    </xf>
    <xf numFmtId="0" fontId="0" fillId="28" borderId="56" xfId="0" applyFont="1" applyFill="1" applyBorder="1" applyAlignment="1">
      <alignment vertical="center"/>
    </xf>
    <xf numFmtId="0" fontId="0" fillId="28" borderId="99" xfId="4" applyFont="1" applyFill="1" applyBorder="1" applyAlignment="1">
      <alignment vertical="center"/>
    </xf>
    <xf numFmtId="0" fontId="0" fillId="28" borderId="99" xfId="4" applyFont="1" applyFill="1" applyBorder="1" applyAlignment="1">
      <alignment horizontal="left" vertical="center"/>
    </xf>
    <xf numFmtId="0" fontId="15" fillId="11" borderId="98" xfId="4" applyFont="1" applyFill="1" applyBorder="1" applyAlignment="1">
      <alignment horizontal="left" vertical="center"/>
    </xf>
    <xf numFmtId="0" fontId="0" fillId="10" borderId="98" xfId="4" applyFont="1" applyFill="1" applyBorder="1" applyAlignment="1">
      <alignment vertical="center"/>
    </xf>
    <xf numFmtId="0" fontId="15" fillId="11" borderId="1" xfId="4" applyFont="1" applyFill="1" applyBorder="1" applyAlignment="1">
      <alignment horizontal="left" vertical="center"/>
    </xf>
    <xf numFmtId="0" fontId="15" fillId="10" borderId="1" xfId="4" applyFont="1" applyFill="1" applyBorder="1" applyAlignment="1">
      <alignment vertical="center"/>
    </xf>
    <xf numFmtId="0" fontId="0" fillId="11" borderId="55" xfId="4" applyFont="1" applyFill="1" applyBorder="1" applyAlignment="1">
      <alignment horizontal="left" vertical="center"/>
    </xf>
    <xf numFmtId="0" fontId="15" fillId="11" borderId="99" xfId="4" applyFont="1" applyFill="1" applyBorder="1" applyAlignment="1">
      <alignment horizontal="left" vertical="center"/>
    </xf>
    <xf numFmtId="0" fontId="0" fillId="11" borderId="99" xfId="4" applyFont="1" applyFill="1" applyBorder="1" applyAlignment="1">
      <alignment horizontal="left" vertical="center"/>
    </xf>
    <xf numFmtId="0" fontId="15" fillId="10" borderId="99" xfId="4" applyFont="1" applyFill="1" applyBorder="1" applyAlignment="1">
      <alignment vertical="center"/>
    </xf>
    <xf numFmtId="0" fontId="0" fillId="11" borderId="57" xfId="4" applyFont="1" applyFill="1" applyBorder="1" applyAlignment="1">
      <alignment horizontal="left" vertical="center"/>
    </xf>
    <xf numFmtId="0" fontId="19" fillId="6" borderId="65" xfId="3" quotePrefix="1" applyFont="1" applyFill="1" applyBorder="1" applyAlignment="1">
      <alignment horizontal="center" vertical="center"/>
    </xf>
    <xf numFmtId="0" fontId="19" fillId="6" borderId="34" xfId="3" quotePrefix="1" applyFont="1" applyFill="1" applyBorder="1" applyAlignment="1">
      <alignment horizontal="center" vertical="center"/>
    </xf>
    <xf numFmtId="0" fontId="0" fillId="26" borderId="53" xfId="4" applyFont="1" applyFill="1" applyBorder="1" applyAlignment="1">
      <alignment horizontal="left" vertical="center"/>
    </xf>
    <xf numFmtId="0" fontId="2" fillId="25" borderId="33" xfId="4" applyFont="1" applyFill="1" applyBorder="1" applyAlignment="1">
      <alignment vertical="center"/>
    </xf>
    <xf numFmtId="0" fontId="5" fillId="25" borderId="52" xfId="4" applyFont="1" applyFill="1" applyBorder="1" applyAlignment="1">
      <alignment vertical="center"/>
    </xf>
    <xf numFmtId="0" fontId="5" fillId="25" borderId="53" xfId="4" applyFont="1" applyFill="1" applyBorder="1" applyAlignment="1">
      <alignment vertical="center"/>
    </xf>
    <xf numFmtId="0" fontId="5" fillId="25" borderId="98" xfId="4" applyFont="1" applyFill="1" applyBorder="1" applyAlignment="1">
      <alignment vertical="center"/>
    </xf>
    <xf numFmtId="0" fontId="0" fillId="26" borderId="55" xfId="4" applyFont="1" applyFill="1" applyBorder="1" applyAlignment="1">
      <alignment horizontal="left" vertical="center"/>
    </xf>
    <xf numFmtId="0" fontId="2" fillId="25" borderId="34" xfId="4" applyFont="1" applyFill="1" applyBorder="1" applyAlignment="1">
      <alignment vertical="center"/>
    </xf>
    <xf numFmtId="0" fontId="5" fillId="25" borderId="54" xfId="4" applyFont="1" applyFill="1" applyBorder="1" applyAlignment="1">
      <alignment vertical="center"/>
    </xf>
    <xf numFmtId="0" fontId="5" fillId="25" borderId="55" xfId="4" applyFont="1" applyFill="1" applyBorder="1" applyAlignment="1">
      <alignment vertical="center"/>
    </xf>
    <xf numFmtId="0" fontId="5" fillId="25" borderId="1" xfId="4" applyFont="1" applyFill="1" applyBorder="1" applyAlignment="1">
      <alignment vertical="center"/>
    </xf>
    <xf numFmtId="0" fontId="0" fillId="7" borderId="56" xfId="4" applyFont="1" applyFill="1" applyBorder="1" applyAlignment="1">
      <alignment horizontal="left" vertical="center"/>
    </xf>
    <xf numFmtId="0" fontId="0" fillId="7" borderId="99" xfId="4" applyFont="1" applyFill="1" applyBorder="1" applyAlignment="1">
      <alignment horizontal="left" vertical="center"/>
    </xf>
    <xf numFmtId="0" fontId="5" fillId="26" borderId="99" xfId="4" applyFont="1" applyFill="1" applyBorder="1" applyAlignment="1">
      <alignment horizontal="left" vertical="center"/>
    </xf>
    <xf numFmtId="0" fontId="0" fillId="26" borderId="57" xfId="4" applyFont="1" applyFill="1" applyBorder="1" applyAlignment="1">
      <alignment horizontal="left" vertical="center"/>
    </xf>
    <xf numFmtId="0" fontId="2" fillId="25" borderId="35" xfId="4" applyFont="1" applyFill="1" applyBorder="1" applyAlignment="1">
      <alignment vertical="center"/>
    </xf>
    <xf numFmtId="0" fontId="5" fillId="25" borderId="56" xfId="4" applyFont="1" applyFill="1" applyBorder="1" applyAlignment="1">
      <alignment horizontal="left" vertical="center"/>
    </xf>
    <xf numFmtId="0" fontId="5" fillId="25" borderId="57" xfId="4" applyFont="1" applyFill="1" applyBorder="1" applyAlignment="1">
      <alignment horizontal="left" vertical="center"/>
    </xf>
    <xf numFmtId="0" fontId="5" fillId="25" borderId="99" xfId="4" applyFont="1" applyFill="1" applyBorder="1" applyAlignment="1">
      <alignment horizontal="left" vertical="center"/>
    </xf>
    <xf numFmtId="0" fontId="21" fillId="19" borderId="1" xfId="4" applyFont="1" applyFill="1" applyBorder="1" applyAlignment="1">
      <alignment horizontal="center" vertical="center"/>
    </xf>
    <xf numFmtId="0" fontId="16" fillId="15" borderId="52" xfId="4" applyFont="1" applyFill="1" applyBorder="1" applyAlignment="1">
      <alignment horizontal="center" vertical="center"/>
    </xf>
    <xf numFmtId="0" fontId="0" fillId="27" borderId="98" xfId="4" applyFont="1" applyFill="1" applyBorder="1" applyAlignment="1">
      <alignment horizontal="center" vertical="center"/>
    </xf>
    <xf numFmtId="0" fontId="15" fillId="27" borderId="98" xfId="4" applyFont="1" applyFill="1" applyBorder="1" applyAlignment="1">
      <alignment horizontal="center" vertical="center"/>
    </xf>
    <xf numFmtId="0" fontId="0" fillId="27" borderId="98" xfId="4" applyFont="1" applyFill="1" applyBorder="1" applyAlignment="1">
      <alignment horizontal="left" vertical="center"/>
    </xf>
    <xf numFmtId="0" fontId="0" fillId="27" borderId="53" xfId="4" applyFont="1" applyFill="1" applyBorder="1" applyAlignment="1">
      <alignment horizontal="left" vertical="center"/>
    </xf>
    <xf numFmtId="0" fontId="16" fillId="15" borderId="54" xfId="4" applyFont="1" applyFill="1" applyBorder="1" applyAlignment="1">
      <alignment horizontal="center" vertical="center"/>
    </xf>
    <xf numFmtId="0" fontId="0" fillId="27" borderId="1" xfId="4" applyFont="1" applyFill="1" applyBorder="1" applyAlignment="1">
      <alignment horizontal="center" vertical="center"/>
    </xf>
    <xf numFmtId="0" fontId="15" fillId="27" borderId="1" xfId="4" applyFont="1" applyFill="1" applyBorder="1" applyAlignment="1">
      <alignment horizontal="center" vertical="center"/>
    </xf>
    <xf numFmtId="0" fontId="0" fillId="27" borderId="1" xfId="4" applyFont="1" applyFill="1" applyBorder="1" applyAlignment="1">
      <alignment horizontal="left" vertical="center"/>
    </xf>
    <xf numFmtId="0" fontId="0" fillId="27" borderId="55" xfId="4" applyFont="1" applyFill="1" applyBorder="1" applyAlignment="1">
      <alignment horizontal="left" vertical="center"/>
    </xf>
    <xf numFmtId="0" fontId="16" fillId="15" borderId="56" xfId="4" applyFont="1" applyFill="1" applyBorder="1" applyAlignment="1">
      <alignment horizontal="center" vertical="center"/>
    </xf>
    <xf numFmtId="0" fontId="0" fillId="27" borderId="99" xfId="4" applyFont="1" applyFill="1" applyBorder="1" applyAlignment="1">
      <alignment horizontal="center" vertical="center"/>
    </xf>
    <xf numFmtId="0" fontId="15" fillId="27" borderId="99" xfId="4" applyFont="1" applyFill="1" applyBorder="1" applyAlignment="1">
      <alignment horizontal="center" vertical="center"/>
    </xf>
    <xf numFmtId="0" fontId="0" fillId="27" borderId="99" xfId="4" applyFont="1" applyFill="1" applyBorder="1" applyAlignment="1">
      <alignment horizontal="left" vertical="center"/>
    </xf>
    <xf numFmtId="0" fontId="0" fillId="27" borderId="57" xfId="4" applyFont="1" applyFill="1" applyBorder="1" applyAlignment="1">
      <alignment horizontal="left" vertical="center"/>
    </xf>
    <xf numFmtId="0" fontId="21" fillId="19" borderId="52" xfId="4" applyFont="1" applyFill="1" applyBorder="1" applyAlignment="1">
      <alignment horizontal="center" vertical="center"/>
    </xf>
    <xf numFmtId="0" fontId="16" fillId="9" borderId="98" xfId="4" applyFont="1" applyFill="1" applyBorder="1" applyAlignment="1">
      <alignment horizontal="center" vertical="center"/>
    </xf>
    <xf numFmtId="0" fontId="21" fillId="19" borderId="98" xfId="4" applyFont="1" applyFill="1" applyBorder="1" applyAlignment="1">
      <alignment horizontal="center" vertical="center"/>
    </xf>
    <xf numFmtId="0" fontId="16" fillId="9" borderId="53" xfId="4" applyFont="1" applyFill="1" applyBorder="1" applyAlignment="1">
      <alignment horizontal="center" vertical="center"/>
    </xf>
    <xf numFmtId="0" fontId="21" fillId="19" borderId="54" xfId="4" applyFont="1" applyFill="1" applyBorder="1" applyAlignment="1">
      <alignment horizontal="center" vertical="center"/>
    </xf>
    <xf numFmtId="0" fontId="16" fillId="9" borderId="1" xfId="4" applyFont="1" applyFill="1" applyBorder="1" applyAlignment="1">
      <alignment horizontal="center" vertical="center"/>
    </xf>
    <xf numFmtId="0" fontId="16" fillId="9" borderId="55" xfId="4" applyFont="1" applyFill="1" applyBorder="1" applyAlignment="1">
      <alignment horizontal="center" vertical="center"/>
    </xf>
    <xf numFmtId="0" fontId="21" fillId="19" borderId="56" xfId="4" applyFont="1" applyFill="1" applyBorder="1" applyAlignment="1">
      <alignment horizontal="center" vertical="center"/>
    </xf>
    <xf numFmtId="0" fontId="16" fillId="9" borderId="99" xfId="4" applyFont="1" applyFill="1" applyBorder="1" applyAlignment="1">
      <alignment horizontal="center" vertical="center"/>
    </xf>
    <xf numFmtId="0" fontId="21" fillId="19" borderId="99" xfId="4" applyFont="1" applyFill="1" applyBorder="1" applyAlignment="1">
      <alignment horizontal="center" vertical="center"/>
    </xf>
    <xf numFmtId="0" fontId="16" fillId="9" borderId="57" xfId="4" applyFont="1" applyFill="1" applyBorder="1" applyAlignment="1">
      <alignment horizontal="center" vertical="center"/>
    </xf>
    <xf numFmtId="0" fontId="0" fillId="11" borderId="52" xfId="4" applyFont="1" applyFill="1" applyBorder="1" applyAlignment="1">
      <alignment vertical="center"/>
    </xf>
    <xf numFmtId="0" fontId="0" fillId="11" borderId="98" xfId="4" applyFont="1" applyFill="1" applyBorder="1" applyAlignment="1">
      <alignment vertical="center"/>
    </xf>
    <xf numFmtId="0" fontId="0" fillId="11" borderId="53" xfId="4" applyFont="1" applyFill="1" applyBorder="1" applyAlignment="1">
      <alignment horizontal="left" vertical="center"/>
    </xf>
    <xf numFmtId="0" fontId="0" fillId="11" borderId="54" xfId="4" applyFont="1" applyFill="1" applyBorder="1" applyAlignment="1">
      <alignment horizontal="left" vertical="center"/>
    </xf>
    <xf numFmtId="0" fontId="0" fillId="11" borderId="1" xfId="4" applyFont="1" applyFill="1" applyBorder="1" applyAlignment="1">
      <alignment vertical="center"/>
    </xf>
    <xf numFmtId="0" fontId="0" fillId="11" borderId="56" xfId="4" applyFont="1" applyFill="1" applyBorder="1" applyAlignment="1">
      <alignment horizontal="left" vertical="center"/>
    </xf>
    <xf numFmtId="0" fontId="2" fillId="15" borderId="36" xfId="4" applyFont="1" applyFill="1" applyBorder="1" applyAlignment="1">
      <alignment horizontal="left" vertical="center"/>
    </xf>
    <xf numFmtId="0" fontId="0" fillId="0" borderId="98" xfId="4" applyFont="1" applyBorder="1" applyAlignment="1">
      <alignment horizontal="left" vertical="center"/>
    </xf>
    <xf numFmtId="0" fontId="5" fillId="0" borderId="54" xfId="4" applyFont="1" applyBorder="1" applyAlignment="1">
      <alignment horizontal="left" vertical="center"/>
    </xf>
    <xf numFmtId="0" fontId="0" fillId="0" borderId="1" xfId="4" applyFont="1" applyBorder="1" applyAlignment="1">
      <alignment horizontal="left" vertical="center"/>
    </xf>
    <xf numFmtId="0" fontId="5" fillId="0" borderId="56" xfId="4" applyFont="1" applyBorder="1" applyAlignment="1">
      <alignment horizontal="left" vertical="center"/>
    </xf>
    <xf numFmtId="0" fontId="15" fillId="0" borderId="99" xfId="4" applyFont="1" applyBorder="1" applyAlignment="1">
      <alignment vertical="center"/>
    </xf>
    <xf numFmtId="0" fontId="24" fillId="9" borderId="53" xfId="4" applyFont="1" applyFill="1" applyBorder="1" applyAlignment="1">
      <alignment horizontal="center" vertical="center"/>
    </xf>
    <xf numFmtId="0" fontId="24" fillId="9" borderId="55" xfId="4" applyFont="1" applyFill="1" applyBorder="1" applyAlignment="1">
      <alignment horizontal="center" vertical="center"/>
    </xf>
    <xf numFmtId="0" fontId="24" fillId="9" borderId="57" xfId="4" applyFont="1" applyFill="1" applyBorder="1" applyAlignment="1">
      <alignment horizontal="center" vertical="center"/>
    </xf>
    <xf numFmtId="0" fontId="0" fillId="25" borderId="52" xfId="4" applyFont="1" applyFill="1" applyBorder="1" applyAlignment="1">
      <alignment vertical="center"/>
    </xf>
    <xf numFmtId="0" fontId="0" fillId="25" borderId="98" xfId="4" applyFont="1" applyFill="1" applyBorder="1" applyAlignment="1">
      <alignment vertical="center"/>
    </xf>
    <xf numFmtId="0" fontId="2" fillId="25" borderId="53" xfId="4" applyFont="1" applyFill="1" applyBorder="1" applyAlignment="1">
      <alignment horizontal="center" vertical="center"/>
    </xf>
    <xf numFmtId="0" fontId="0" fillId="0" borderId="1" xfId="4" applyFont="1" applyBorder="1" applyAlignment="1">
      <alignment vertical="center"/>
    </xf>
    <xf numFmtId="0" fontId="0" fillId="25" borderId="54" xfId="4" applyFont="1" applyFill="1" applyBorder="1" applyAlignment="1">
      <alignment vertical="center"/>
    </xf>
    <xf numFmtId="0" fontId="0" fillId="25" borderId="1" xfId="4" applyFont="1" applyFill="1" applyBorder="1" applyAlignment="1">
      <alignment vertical="center"/>
    </xf>
    <xf numFmtId="0" fontId="2" fillId="25" borderId="55" xfId="4" applyFont="1" applyFill="1" applyBorder="1" applyAlignment="1">
      <alignment horizontal="center" vertical="center"/>
    </xf>
    <xf numFmtId="0" fontId="0" fillId="25" borderId="55" xfId="4" applyFont="1" applyFill="1" applyBorder="1" applyAlignment="1">
      <alignment vertical="center"/>
    </xf>
    <xf numFmtId="0" fontId="0" fillId="25" borderId="56" xfId="4" applyFont="1" applyFill="1" applyBorder="1" applyAlignment="1">
      <alignment vertical="center"/>
    </xf>
    <xf numFmtId="0" fontId="0" fillId="25" borderId="99" xfId="4" applyFont="1" applyFill="1" applyBorder="1" applyAlignment="1">
      <alignment vertical="center"/>
    </xf>
    <xf numFmtId="0" fontId="0" fillId="25" borderId="99" xfId="4" applyFont="1" applyFill="1" applyBorder="1" applyAlignment="1">
      <alignment horizontal="left" vertical="center"/>
    </xf>
    <xf numFmtId="0" fontId="2" fillId="25" borderId="57" xfId="4" applyFont="1" applyFill="1" applyBorder="1" applyAlignment="1">
      <alignment horizontal="center" vertical="center"/>
    </xf>
    <xf numFmtId="0" fontId="0" fillId="25" borderId="57" xfId="4" applyFont="1" applyFill="1" applyBorder="1" applyAlignment="1">
      <alignment vertical="center"/>
    </xf>
    <xf numFmtId="0" fontId="2" fillId="26" borderId="52" xfId="0" applyFont="1" applyFill="1" applyBorder="1" applyAlignment="1">
      <alignment horizontal="left" vertical="center"/>
    </xf>
    <xf numFmtId="0" fontId="2" fillId="26" borderId="98" xfId="0" applyFont="1" applyFill="1" applyBorder="1" applyAlignment="1">
      <alignment vertical="center"/>
    </xf>
    <xf numFmtId="0" fontId="5" fillId="26" borderId="98" xfId="4" applyFont="1" applyFill="1" applyBorder="1" applyAlignment="1">
      <alignment horizontal="left" vertical="center"/>
    </xf>
    <xf numFmtId="0" fontId="5" fillId="26" borderId="53" xfId="4" applyFont="1" applyFill="1" applyBorder="1" applyAlignment="1">
      <alignment horizontal="left" vertical="center"/>
    </xf>
    <xf numFmtId="0" fontId="2" fillId="26" borderId="52" xfId="0" applyFont="1" applyFill="1" applyBorder="1" applyAlignment="1">
      <alignment vertical="center"/>
    </xf>
    <xf numFmtId="0" fontId="0" fillId="26" borderId="54" xfId="4" applyFont="1" applyFill="1" applyBorder="1" applyAlignment="1">
      <alignment horizontal="left" vertical="center"/>
    </xf>
    <xf numFmtId="0" fontId="5" fillId="26" borderId="1" xfId="0" applyFont="1" applyFill="1" applyBorder="1" applyAlignment="1">
      <alignment vertical="center"/>
    </xf>
    <xf numFmtId="0" fontId="5" fillId="26" borderId="1" xfId="4" applyFont="1" applyFill="1" applyBorder="1" applyAlignment="1">
      <alignment horizontal="left" vertical="center"/>
    </xf>
    <xf numFmtId="0" fontId="5" fillId="26" borderId="55" xfId="0" applyFont="1" applyFill="1" applyBorder="1" applyAlignment="1">
      <alignment vertical="center"/>
    </xf>
    <xf numFmtId="0" fontId="0" fillId="0" borderId="1" xfId="0" applyFont="1" applyBorder="1" applyAlignment="1">
      <alignment vertical="center"/>
    </xf>
    <xf numFmtId="0" fontId="2" fillId="26" borderId="54" xfId="0" applyFont="1" applyFill="1" applyBorder="1" applyAlignment="1">
      <alignment vertical="center"/>
    </xf>
    <xf numFmtId="0" fontId="0" fillId="26" borderId="1" xfId="0" applyFont="1" applyFill="1" applyBorder="1" applyAlignment="1">
      <alignment vertical="center"/>
    </xf>
    <xf numFmtId="0" fontId="0" fillId="26" borderId="55" xfId="0" applyFont="1" applyFill="1" applyBorder="1" applyAlignment="1">
      <alignment vertical="center"/>
    </xf>
    <xf numFmtId="0" fontId="2" fillId="26" borderId="54" xfId="0" applyFont="1" applyFill="1" applyBorder="1" applyAlignment="1">
      <alignment horizontal="left" vertical="center"/>
    </xf>
    <xf numFmtId="0" fontId="2" fillId="26" borderId="54" xfId="4" applyFont="1" applyFill="1" applyBorder="1" applyAlignment="1">
      <alignment horizontal="left" vertical="center"/>
    </xf>
    <xf numFmtId="0" fontId="0" fillId="26" borderId="54" xfId="0" applyFont="1" applyFill="1" applyBorder="1" applyAlignment="1">
      <alignment vertical="center"/>
    </xf>
    <xf numFmtId="0" fontId="2" fillId="26" borderId="1" xfId="0" applyFont="1" applyFill="1" applyBorder="1" applyAlignment="1">
      <alignment vertical="center"/>
    </xf>
    <xf numFmtId="0" fontId="5" fillId="26" borderId="54" xfId="0" applyFont="1" applyFill="1" applyBorder="1" applyAlignment="1">
      <alignment horizontal="left" vertical="center"/>
    </xf>
    <xf numFmtId="0" fontId="5" fillId="26" borderId="56" xfId="0" applyFont="1" applyFill="1" applyBorder="1" applyAlignment="1">
      <alignment horizontal="left" vertical="center"/>
    </xf>
    <xf numFmtId="0" fontId="2" fillId="26" borderId="99" xfId="0" applyFont="1" applyFill="1" applyBorder="1" applyAlignment="1">
      <alignment vertical="center"/>
    </xf>
    <xf numFmtId="0" fontId="0" fillId="26" borderId="99" xfId="0" applyFont="1" applyFill="1" applyBorder="1" applyAlignment="1">
      <alignment vertical="center"/>
    </xf>
    <xf numFmtId="0" fontId="0" fillId="26" borderId="57" xfId="0" applyFont="1" applyFill="1" applyBorder="1" applyAlignment="1">
      <alignment vertical="center"/>
    </xf>
    <xf numFmtId="0" fontId="0" fillId="26" borderId="56" xfId="0" applyFont="1" applyFill="1" applyBorder="1" applyAlignment="1">
      <alignment vertical="center"/>
    </xf>
    <xf numFmtId="0" fontId="34" fillId="26" borderId="54" xfId="4" applyFont="1" applyFill="1" applyBorder="1" applyAlignment="1">
      <alignment horizontal="left" vertical="center"/>
    </xf>
    <xf numFmtId="0" fontId="33" fillId="26" borderId="54" xfId="0" applyFont="1" applyFill="1" applyBorder="1" applyAlignment="1">
      <alignment horizontal="left" vertical="center"/>
    </xf>
    <xf numFmtId="0" fontId="33" fillId="26" borderId="56" xfId="0" applyFont="1" applyFill="1" applyBorder="1" applyAlignment="1">
      <alignment horizontal="left" vertical="center"/>
    </xf>
    <xf numFmtId="0" fontId="2" fillId="28" borderId="52" xfId="0" applyFont="1" applyFill="1" applyBorder="1" applyAlignment="1">
      <alignment horizontal="left" vertical="center"/>
    </xf>
    <xf numFmtId="0" fontId="5" fillId="28" borderId="98" xfId="0" applyFont="1" applyFill="1" applyBorder="1" applyAlignment="1">
      <alignment vertical="center"/>
    </xf>
    <xf numFmtId="0" fontId="5" fillId="28" borderId="98" xfId="4" applyFont="1" applyFill="1" applyBorder="1" applyAlignment="1">
      <alignment horizontal="left" vertical="center"/>
    </xf>
    <xf numFmtId="0" fontId="5" fillId="28" borderId="98" xfId="0" applyFont="1" applyFill="1" applyBorder="1" applyAlignment="1">
      <alignment horizontal="left" vertical="center"/>
    </xf>
    <xf numFmtId="0" fontId="5" fillId="28" borderId="53" xfId="0" applyFont="1" applyFill="1" applyBorder="1" applyAlignment="1">
      <alignment horizontal="left" vertical="center"/>
    </xf>
    <xf numFmtId="0" fontId="0" fillId="28" borderId="54" xfId="0" applyFont="1" applyFill="1" applyBorder="1" applyAlignment="1">
      <alignment horizontal="left" vertical="center"/>
    </xf>
    <xf numFmtId="0" fontId="5" fillId="28" borderId="1" xfId="0" applyFont="1" applyFill="1" applyBorder="1" applyAlignment="1">
      <alignment vertical="center"/>
    </xf>
    <xf numFmtId="0" fontId="5" fillId="28" borderId="1" xfId="4" applyFont="1" applyFill="1" applyBorder="1" applyAlignment="1">
      <alignment horizontal="left" vertical="center"/>
    </xf>
    <xf numFmtId="0" fontId="5" fillId="28" borderId="55" xfId="0" applyFont="1" applyFill="1" applyBorder="1" applyAlignment="1">
      <alignment horizontal="left" vertical="center"/>
    </xf>
    <xf numFmtId="0" fontId="2" fillId="28" borderId="54" xfId="0" applyFont="1" applyFill="1" applyBorder="1" applyAlignment="1">
      <alignment horizontal="left" vertical="center"/>
    </xf>
    <xf numFmtId="0" fontId="5" fillId="28" borderId="1" xfId="0" applyFont="1" applyFill="1" applyBorder="1" applyAlignment="1">
      <alignment horizontal="left" vertical="center"/>
    </xf>
    <xf numFmtId="0" fontId="2" fillId="28" borderId="1" xfId="0" applyFont="1" applyFill="1" applyBorder="1" applyAlignment="1">
      <alignment vertical="center"/>
    </xf>
    <xf numFmtId="0" fontId="0" fillId="28" borderId="56" xfId="0" applyFont="1" applyFill="1" applyBorder="1" applyAlignment="1">
      <alignment horizontal="left" vertical="center"/>
    </xf>
    <xf numFmtId="0" fontId="0" fillId="28" borderId="99" xfId="0" applyFont="1" applyFill="1" applyBorder="1" applyAlignment="1">
      <alignment vertical="center"/>
    </xf>
    <xf numFmtId="0" fontId="5" fillId="28" borderId="99" xfId="0" applyFont="1" applyFill="1" applyBorder="1" applyAlignment="1">
      <alignment vertical="center"/>
    </xf>
    <xf numFmtId="0" fontId="5" fillId="28" borderId="99" xfId="0" applyFont="1" applyFill="1" applyBorder="1" applyAlignment="1">
      <alignment horizontal="left" vertical="center"/>
    </xf>
    <xf numFmtId="0" fontId="5" fillId="28" borderId="57" xfId="0" applyFont="1" applyFill="1" applyBorder="1" applyAlignment="1">
      <alignment horizontal="left" vertical="center"/>
    </xf>
    <xf numFmtId="0" fontId="0" fillId="25" borderId="98" xfId="4" applyFont="1" applyFill="1" applyBorder="1" applyAlignment="1">
      <alignment horizontal="left" vertical="center"/>
    </xf>
    <xf numFmtId="0" fontId="2" fillId="11" borderId="52" xfId="0" applyFont="1" applyFill="1" applyBorder="1" applyAlignment="1">
      <alignment vertical="center"/>
    </xf>
    <xf numFmtId="0" fontId="2" fillId="11" borderId="98" xfId="0" applyFont="1" applyFill="1" applyBorder="1" applyAlignment="1">
      <alignment vertical="center"/>
    </xf>
    <xf numFmtId="0" fontId="5" fillId="11" borderId="98" xfId="4" applyFont="1" applyFill="1" applyBorder="1" applyAlignment="1">
      <alignment horizontal="left" vertical="center"/>
    </xf>
    <xf numFmtId="0" fontId="5" fillId="11" borderId="98" xfId="0" applyFont="1" applyFill="1" applyBorder="1" applyAlignment="1">
      <alignment vertical="center"/>
    </xf>
    <xf numFmtId="0" fontId="5" fillId="11" borderId="53" xfId="0" applyFont="1" applyFill="1" applyBorder="1" applyAlignment="1">
      <alignment vertical="center"/>
    </xf>
    <xf numFmtId="0" fontId="5" fillId="11" borderId="54" xfId="0" applyFont="1" applyFill="1" applyBorder="1" applyAlignment="1">
      <alignment vertical="center"/>
    </xf>
    <xf numFmtId="0" fontId="5" fillId="11" borderId="1" xfId="4" applyFont="1" applyFill="1" applyBorder="1" applyAlignment="1">
      <alignment horizontal="left" vertical="center"/>
    </xf>
    <xf numFmtId="0" fontId="5" fillId="11" borderId="1" xfId="0" applyFont="1" applyFill="1" applyBorder="1" applyAlignment="1">
      <alignment vertical="center"/>
    </xf>
    <xf numFmtId="0" fontId="5" fillId="11" borderId="55" xfId="0" applyFont="1" applyFill="1" applyBorder="1" applyAlignment="1">
      <alignment vertical="center"/>
    </xf>
    <xf numFmtId="0" fontId="2" fillId="11" borderId="54" xfId="0" applyFont="1" applyFill="1" applyBorder="1" applyAlignment="1">
      <alignment vertical="center"/>
    </xf>
    <xf numFmtId="0" fontId="2" fillId="11" borderId="1" xfId="0" applyFont="1" applyFill="1" applyBorder="1" applyAlignment="1">
      <alignment vertical="center"/>
    </xf>
    <xf numFmtId="0" fontId="5" fillId="11" borderId="56" xfId="0" applyFont="1" applyFill="1" applyBorder="1" applyAlignment="1">
      <alignment vertical="center"/>
    </xf>
    <xf numFmtId="0" fontId="5" fillId="11" borderId="99" xfId="4" applyFont="1" applyFill="1" applyBorder="1" applyAlignment="1">
      <alignment horizontal="left" vertical="center"/>
    </xf>
    <xf numFmtId="0" fontId="5" fillId="11" borderId="99" xfId="0" applyFont="1" applyFill="1" applyBorder="1" applyAlignment="1">
      <alignment vertical="center"/>
    </xf>
    <xf numFmtId="0" fontId="5" fillId="11" borderId="57" xfId="0" applyFont="1" applyFill="1" applyBorder="1" applyAlignment="1">
      <alignment vertical="center"/>
    </xf>
    <xf numFmtId="0" fontId="2" fillId="25" borderId="52" xfId="0" applyFont="1" applyFill="1" applyBorder="1" applyAlignment="1">
      <alignment vertical="center"/>
    </xf>
    <xf numFmtId="0" fontId="5" fillId="25" borderId="98" xfId="0" applyFont="1" applyFill="1" applyBorder="1" applyAlignment="1">
      <alignment vertical="center"/>
    </xf>
    <xf numFmtId="0" fontId="5" fillId="25" borderId="54" xfId="0" applyFont="1" applyFill="1" applyBorder="1" applyAlignment="1">
      <alignment vertical="center"/>
    </xf>
    <xf numFmtId="0" fontId="0" fillId="25" borderId="1" xfId="0" applyFont="1" applyFill="1" applyBorder="1" applyAlignment="1">
      <alignment vertical="center"/>
    </xf>
    <xf numFmtId="0" fontId="0" fillId="25" borderId="1" xfId="4" applyFont="1" applyFill="1" applyBorder="1" applyAlignment="1">
      <alignment horizontal="left" vertical="center"/>
    </xf>
    <xf numFmtId="0" fontId="0" fillId="25" borderId="55" xfId="0" applyFont="1" applyFill="1" applyBorder="1" applyAlignment="1">
      <alignment vertical="center"/>
    </xf>
    <xf numFmtId="0" fontId="2" fillId="25" borderId="54" xfId="0" applyFont="1" applyFill="1" applyBorder="1" applyAlignment="1">
      <alignment vertical="center"/>
    </xf>
    <xf numFmtId="0" fontId="5" fillId="25" borderId="1" xfId="0" applyFont="1" applyFill="1" applyBorder="1" applyAlignment="1">
      <alignment vertical="center"/>
    </xf>
    <xf numFmtId="0" fontId="5" fillId="25" borderId="56" xfId="0" applyFont="1" applyFill="1" applyBorder="1" applyAlignment="1">
      <alignment vertical="center"/>
    </xf>
    <xf numFmtId="0" fontId="0" fillId="27" borderId="53" xfId="4" applyFont="1" applyFill="1" applyBorder="1" applyAlignment="1">
      <alignment vertical="center"/>
    </xf>
    <xf numFmtId="0" fontId="0" fillId="27" borderId="55" xfId="4" applyFont="1" applyFill="1" applyBorder="1" applyAlignment="1">
      <alignment vertical="center"/>
    </xf>
    <xf numFmtId="0" fontId="0" fillId="27" borderId="57" xfId="4" applyFont="1" applyFill="1" applyBorder="1" applyAlignment="1">
      <alignment vertical="center"/>
    </xf>
    <xf numFmtId="0" fontId="0" fillId="26" borderId="52" xfId="4" applyFont="1" applyFill="1" applyBorder="1" applyAlignment="1">
      <alignment vertical="center"/>
    </xf>
    <xf numFmtId="0" fontId="0" fillId="26" borderId="98" xfId="4" applyFont="1" applyFill="1" applyBorder="1" applyAlignment="1">
      <alignment vertical="center"/>
    </xf>
    <xf numFmtId="0" fontId="0" fillId="26" borderId="53" xfId="4" applyFont="1" applyFill="1" applyBorder="1" applyAlignment="1">
      <alignment vertical="center"/>
    </xf>
    <xf numFmtId="0" fontId="0" fillId="26" borderId="54" xfId="4" applyFont="1" applyFill="1" applyBorder="1" applyAlignment="1">
      <alignment vertical="center"/>
    </xf>
    <xf numFmtId="0" fontId="0" fillId="26" borderId="1" xfId="4" applyFont="1" applyFill="1" applyBorder="1" applyAlignment="1">
      <alignment vertical="center"/>
    </xf>
    <xf numFmtId="0" fontId="0" fillId="26" borderId="55" xfId="4" applyFont="1" applyFill="1" applyBorder="1" applyAlignment="1">
      <alignment vertical="center"/>
    </xf>
    <xf numFmtId="0" fontId="0" fillId="26" borderId="56" xfId="4" applyFont="1" applyFill="1" applyBorder="1" applyAlignment="1">
      <alignment vertical="center"/>
    </xf>
    <xf numFmtId="0" fontId="0" fillId="26" borderId="99" xfId="4" applyFont="1" applyFill="1" applyBorder="1" applyAlignment="1">
      <alignment vertical="center"/>
    </xf>
    <xf numFmtId="0" fontId="0" fillId="26" borderId="57" xfId="4" applyFont="1" applyFill="1" applyBorder="1" applyAlignment="1">
      <alignment vertical="center"/>
    </xf>
    <xf numFmtId="0" fontId="0" fillId="25" borderId="53" xfId="4" applyFont="1" applyFill="1" applyBorder="1" applyAlignment="1">
      <alignment vertical="center"/>
    </xf>
    <xf numFmtId="0" fontId="5" fillId="0" borderId="24" xfId="0" applyFont="1" applyBorder="1" applyAlignment="1">
      <alignment horizontal="center" vertical="center"/>
    </xf>
    <xf numFmtId="0" fontId="11" fillId="0" borderId="92" xfId="1" quotePrefix="1" applyBorder="1" applyAlignment="1">
      <alignment horizontal="left" vertical="center"/>
    </xf>
    <xf numFmtId="0" fontId="11" fillId="0" borderId="121" xfId="1" quotePrefix="1" applyFill="1" applyBorder="1" applyAlignment="1">
      <alignment horizontal="left"/>
    </xf>
    <xf numFmtId="0" fontId="11" fillId="0" borderId="27" xfId="1" quotePrefix="1" applyBorder="1" applyAlignment="1">
      <alignment horizontal="left" vertical="center"/>
    </xf>
    <xf numFmtId="0" fontId="13" fillId="0" borderId="121" xfId="1" applyFont="1" applyFill="1" applyBorder="1" applyAlignment="1">
      <alignment horizontal="left" vertical="center"/>
    </xf>
    <xf numFmtId="0" fontId="13" fillId="0" borderId="92" xfId="1" applyFont="1" applyFill="1" applyBorder="1" applyAlignment="1">
      <alignment horizontal="left" vertical="center"/>
    </xf>
    <xf numFmtId="0" fontId="13" fillId="0" borderId="122" xfId="1" applyFont="1" applyFill="1" applyBorder="1" applyAlignment="1">
      <alignment horizontal="left" vertical="center"/>
    </xf>
    <xf numFmtId="0" fontId="11" fillId="0" borderId="85" xfId="1" applyBorder="1" applyAlignment="1">
      <alignment horizontal="left" vertical="center"/>
    </xf>
    <xf numFmtId="0" fontId="11" fillId="0" borderId="36" xfId="1" applyBorder="1" applyAlignment="1">
      <alignment horizontal="left" vertical="center"/>
    </xf>
    <xf numFmtId="0" fontId="11" fillId="0" borderId="84" xfId="1" applyBorder="1" applyAlignment="1">
      <alignment horizontal="left" vertical="center"/>
    </xf>
    <xf numFmtId="0" fontId="11" fillId="0" borderId="86" xfId="1" applyBorder="1" applyAlignment="1">
      <alignment horizontal="left" vertical="center"/>
    </xf>
    <xf numFmtId="0" fontId="11" fillId="0" borderId="87" xfId="1" applyBorder="1" applyAlignment="1">
      <alignment horizontal="left" vertical="center"/>
    </xf>
    <xf numFmtId="0" fontId="11" fillId="0" borderId="69" xfId="1" applyBorder="1" applyAlignment="1">
      <alignment horizontal="left" vertical="center"/>
    </xf>
    <xf numFmtId="0" fontId="0" fillId="0" borderId="35" xfId="0" applyFont="1" applyBorder="1" applyAlignment="1">
      <alignment horizontal="center"/>
    </xf>
    <xf numFmtId="0" fontId="0" fillId="0" borderId="41" xfId="0" applyFont="1" applyBorder="1" applyAlignment="1">
      <alignment horizontal="center"/>
    </xf>
    <xf numFmtId="0" fontId="0" fillId="22" borderId="35" xfId="0" applyFont="1" applyFill="1" applyBorder="1" applyAlignment="1">
      <alignment horizontal="center"/>
    </xf>
    <xf numFmtId="0" fontId="11" fillId="0" borderId="24" xfId="1" quotePrefix="1" applyBorder="1" applyAlignment="1">
      <alignment horizontal="left" vertical="center"/>
    </xf>
    <xf numFmtId="0" fontId="3" fillId="0" borderId="89" xfId="2" applyFont="1" applyFill="1" applyBorder="1" applyAlignment="1">
      <alignment vertical="center"/>
    </xf>
    <xf numFmtId="0" fontId="3" fillId="0" borderId="59" xfId="2" applyFont="1" applyFill="1" applyBorder="1" applyAlignment="1">
      <alignment vertical="center"/>
    </xf>
    <xf numFmtId="0" fontId="3" fillId="0" borderId="90" xfId="2" applyFont="1" applyFill="1" applyBorder="1" applyAlignment="1">
      <alignment vertical="center"/>
    </xf>
    <xf numFmtId="0" fontId="3" fillId="0" borderId="73" xfId="2" applyFont="1" applyFill="1" applyBorder="1" applyAlignment="1">
      <alignment vertical="center"/>
    </xf>
    <xf numFmtId="0" fontId="4" fillId="0" borderId="9" xfId="2" applyFont="1" applyFill="1" applyBorder="1" applyAlignment="1">
      <alignment vertical="center"/>
    </xf>
    <xf numFmtId="0" fontId="0" fillId="22" borderId="40" xfId="0" applyFont="1" applyFill="1" applyBorder="1" applyAlignment="1">
      <alignment horizontal="center"/>
    </xf>
    <xf numFmtId="0" fontId="11" fillId="0" borderId="84" xfId="1" applyBorder="1" applyAlignment="1">
      <alignment horizontal="center"/>
    </xf>
    <xf numFmtId="0" fontId="5" fillId="18" borderId="22" xfId="0" applyFont="1" applyFill="1" applyBorder="1" applyAlignment="1">
      <alignment horizontal="center"/>
    </xf>
    <xf numFmtId="0" fontId="10" fillId="23" borderId="20" xfId="0" applyFont="1" applyFill="1" applyBorder="1" applyAlignment="1"/>
    <xf numFmtId="0" fontId="11" fillId="0" borderId="1" xfId="1" applyBorder="1" applyAlignment="1">
      <alignment horizontal="center"/>
    </xf>
    <xf numFmtId="0" fontId="0" fillId="21" borderId="72" xfId="0" applyFont="1" applyFill="1" applyBorder="1" applyAlignment="1">
      <alignment horizontal="left" vertical="top" wrapText="1"/>
    </xf>
    <xf numFmtId="0" fontId="0" fillId="21" borderId="95" xfId="0" applyFont="1" applyFill="1" applyBorder="1" applyAlignment="1">
      <alignment horizontal="left" vertical="top" wrapText="1"/>
    </xf>
    <xf numFmtId="0" fontId="0" fillId="21" borderId="97" xfId="0" applyFont="1" applyFill="1" applyBorder="1" applyAlignment="1">
      <alignment horizontal="left" vertical="top" wrapText="1"/>
    </xf>
    <xf numFmtId="0" fontId="16" fillId="7" borderId="1" xfId="4" applyFont="1" applyFill="1" applyBorder="1" applyAlignment="1">
      <alignment horizontal="center" vertical="center"/>
    </xf>
    <xf numFmtId="0" fontId="16" fillId="7" borderId="99" xfId="4" applyFont="1" applyFill="1" applyBorder="1" applyAlignment="1">
      <alignment horizontal="center" vertical="center"/>
    </xf>
    <xf numFmtId="0" fontId="16" fillId="0" borderId="1" xfId="4" applyFont="1" applyBorder="1" applyAlignment="1">
      <alignment horizontal="left"/>
    </xf>
    <xf numFmtId="0" fontId="0" fillId="11" borderId="92" xfId="4" applyFont="1" applyFill="1" applyBorder="1" applyAlignment="1">
      <alignment horizontal="left" vertical="center" wrapText="1"/>
    </xf>
    <xf numFmtId="0" fontId="0" fillId="11" borderId="100" xfId="4" applyFont="1" applyFill="1" applyBorder="1" applyAlignment="1">
      <alignment horizontal="left" vertical="center" wrapText="1"/>
    </xf>
    <xf numFmtId="0" fontId="0" fillId="11" borderId="36" xfId="4" applyFont="1" applyFill="1" applyBorder="1" applyAlignment="1">
      <alignment horizontal="left" vertical="center" wrapText="1"/>
    </xf>
    <xf numFmtId="0" fontId="16" fillId="13" borderId="54" xfId="4" applyFont="1" applyFill="1" applyBorder="1" applyAlignment="1">
      <alignment horizontal="center" vertical="center"/>
    </xf>
    <xf numFmtId="0" fontId="16" fillId="13" borderId="1" xfId="4" applyFont="1" applyFill="1" applyBorder="1" applyAlignment="1">
      <alignment horizontal="center" vertical="center"/>
    </xf>
    <xf numFmtId="0" fontId="16" fillId="13" borderId="56" xfId="4" applyFont="1" applyFill="1" applyBorder="1" applyAlignment="1">
      <alignment horizontal="center" vertical="center"/>
    </xf>
    <xf numFmtId="0" fontId="16" fillId="13" borderId="99" xfId="4" applyFont="1" applyFill="1" applyBorder="1" applyAlignment="1">
      <alignment horizontal="center" vertical="center"/>
    </xf>
    <xf numFmtId="0" fontId="16" fillId="0" borderId="92" xfId="4" applyFont="1" applyBorder="1" applyAlignment="1">
      <alignment horizontal="center"/>
    </xf>
    <xf numFmtId="0" fontId="16" fillId="0" borderId="100" xfId="4" applyFont="1" applyBorder="1" applyAlignment="1">
      <alignment horizontal="center"/>
    </xf>
    <xf numFmtId="0" fontId="16" fillId="0" borderId="36" xfId="4" applyFont="1" applyBorder="1" applyAlignment="1">
      <alignment horizontal="center"/>
    </xf>
    <xf numFmtId="0" fontId="0" fillId="28" borderId="92" xfId="4" applyFont="1" applyFill="1" applyBorder="1" applyAlignment="1">
      <alignment horizontal="left" vertical="center" wrapText="1"/>
    </xf>
    <xf numFmtId="0" fontId="0" fillId="28" borderId="100" xfId="4" applyFont="1" applyFill="1" applyBorder="1" applyAlignment="1">
      <alignment horizontal="left" vertical="center" wrapText="1"/>
    </xf>
    <xf numFmtId="0" fontId="0" fillId="28" borderId="36" xfId="4" applyFont="1" applyFill="1" applyBorder="1" applyAlignment="1">
      <alignment horizontal="left" vertical="center" wrapText="1"/>
    </xf>
    <xf numFmtId="0" fontId="15" fillId="26" borderId="100" xfId="4" quotePrefix="1" applyFont="1" applyFill="1" applyBorder="1" applyAlignment="1">
      <alignment horizontal="center" vertical="center"/>
    </xf>
    <xf numFmtId="0" fontId="15" fillId="11" borderId="100" xfId="4" quotePrefix="1" applyFont="1" applyFill="1" applyBorder="1" applyAlignment="1">
      <alignment horizontal="center" vertical="center"/>
    </xf>
    <xf numFmtId="0" fontId="17" fillId="7" borderId="92" xfId="4" applyFont="1" applyFill="1" applyBorder="1" applyAlignment="1">
      <alignment horizontal="left" vertical="center"/>
    </xf>
    <xf numFmtId="0" fontId="17" fillId="7" borderId="100" xfId="4" applyFont="1" applyFill="1" applyBorder="1" applyAlignment="1">
      <alignment horizontal="left" vertical="center"/>
    </xf>
    <xf numFmtId="0" fontId="15" fillId="26" borderId="100" xfId="4" applyFont="1" applyFill="1" applyBorder="1" applyAlignment="1">
      <alignment horizontal="center" vertical="center"/>
    </xf>
    <xf numFmtId="0" fontId="18" fillId="0" borderId="99" xfId="4" applyFont="1" applyBorder="1" applyAlignment="1">
      <alignment horizontal="center"/>
    </xf>
    <xf numFmtId="0" fontId="17" fillId="15" borderId="92" xfId="4" applyFont="1" applyFill="1" applyBorder="1" applyAlignment="1">
      <alignment horizontal="center" vertical="center"/>
    </xf>
    <xf numFmtId="0" fontId="17" fillId="15" borderId="100" xfId="4" applyFont="1" applyFill="1" applyBorder="1" applyAlignment="1">
      <alignment horizontal="center" vertical="center"/>
    </xf>
    <xf numFmtId="0" fontId="17" fillId="15" borderId="36" xfId="4" applyFont="1" applyFill="1" applyBorder="1" applyAlignment="1">
      <alignment horizontal="center" vertical="center"/>
    </xf>
    <xf numFmtId="0" fontId="16" fillId="7" borderId="98" xfId="4" applyFont="1" applyFill="1" applyBorder="1" applyAlignment="1">
      <alignment horizontal="center" vertical="center"/>
    </xf>
    <xf numFmtId="0" fontId="16" fillId="13" borderId="52" xfId="4" applyFont="1" applyFill="1" applyBorder="1" applyAlignment="1">
      <alignment horizontal="center" vertical="center"/>
    </xf>
    <xf numFmtId="0" fontId="16" fillId="13" borderId="98" xfId="4" applyFont="1" applyFill="1" applyBorder="1" applyAlignment="1">
      <alignment horizontal="center" vertical="center"/>
    </xf>
    <xf numFmtId="0" fontId="32" fillId="15" borderId="92" xfId="4" applyFont="1" applyFill="1" applyBorder="1" applyAlignment="1">
      <alignment horizontal="center" vertical="center"/>
    </xf>
    <xf numFmtId="0" fontId="32" fillId="15" borderId="100" xfId="4" applyFont="1" applyFill="1" applyBorder="1" applyAlignment="1">
      <alignment horizontal="center" vertical="center"/>
    </xf>
    <xf numFmtId="0" fontId="32" fillId="15" borderId="36" xfId="4" applyFont="1" applyFill="1" applyBorder="1" applyAlignment="1">
      <alignment horizontal="center" vertical="center"/>
    </xf>
    <xf numFmtId="0" fontId="16" fillId="0" borderId="98" xfId="4" applyFont="1" applyBorder="1" applyAlignment="1">
      <alignment horizontal="left"/>
    </xf>
    <xf numFmtId="0" fontId="10" fillId="0" borderId="40" xfId="1" applyFont="1" applyBorder="1" applyAlignment="1">
      <alignment horizontal="center"/>
    </xf>
    <xf numFmtId="0" fontId="10" fillId="0" borderId="35" xfId="1" applyFont="1" applyBorder="1" applyAlignment="1">
      <alignment horizontal="center"/>
    </xf>
    <xf numFmtId="0" fontId="2" fillId="15" borderId="74" xfId="0" applyFont="1" applyFill="1" applyBorder="1" applyAlignment="1">
      <alignment horizontal="center"/>
    </xf>
    <xf numFmtId="0" fontId="5" fillId="0" borderId="85" xfId="0" applyFont="1" applyBorder="1" applyAlignment="1">
      <alignment horizontal="center"/>
    </xf>
    <xf numFmtId="0" fontId="13" fillId="0" borderId="36" xfId="1" applyFont="1" applyBorder="1" applyAlignment="1">
      <alignment horizontal="center"/>
    </xf>
    <xf numFmtId="0" fontId="13" fillId="20" borderId="36" xfId="1" applyFont="1" applyFill="1" applyBorder="1" applyAlignment="1">
      <alignment horizontal="center"/>
    </xf>
    <xf numFmtId="0" fontId="11" fillId="0" borderId="36" xfId="1" applyBorder="1" applyAlignment="1">
      <alignment horizontal="center"/>
    </xf>
    <xf numFmtId="0" fontId="10" fillId="0" borderId="36" xfId="0" applyFont="1" applyBorder="1" applyAlignment="1">
      <alignment horizontal="center"/>
    </xf>
    <xf numFmtId="0" fontId="10" fillId="0" borderId="53" xfId="0" applyFont="1" applyBorder="1" applyAlignment="1">
      <alignment horizontal="center"/>
    </xf>
    <xf numFmtId="0" fontId="11" fillId="0" borderId="53" xfId="1" applyBorder="1" applyAlignment="1">
      <alignment horizontal="center"/>
    </xf>
    <xf numFmtId="0" fontId="5" fillId="0" borderId="74" xfId="0" applyFont="1" applyBorder="1" applyAlignment="1">
      <alignment horizontal="center"/>
    </xf>
    <xf numFmtId="0" fontId="5" fillId="0" borderId="36" xfId="0" applyFont="1" applyBorder="1" applyAlignment="1">
      <alignment horizontal="center"/>
    </xf>
    <xf numFmtId="0" fontId="0" fillId="0" borderId="36" xfId="0" applyFont="1" applyBorder="1" applyAlignment="1">
      <alignment horizontal="center"/>
    </xf>
    <xf numFmtId="0" fontId="0" fillId="22" borderId="36" xfId="0" applyFont="1" applyFill="1" applyBorder="1" applyAlignment="1">
      <alignment horizontal="center"/>
    </xf>
    <xf numFmtId="0" fontId="0" fillId="20" borderId="84" xfId="0" applyFont="1" applyFill="1" applyBorder="1" applyAlignment="1">
      <alignment horizontal="center"/>
    </xf>
    <xf numFmtId="0" fontId="5" fillId="0" borderId="119" xfId="0" applyFont="1" applyBorder="1" applyAlignment="1">
      <alignment horizontal="center"/>
    </xf>
    <xf numFmtId="0" fontId="0" fillId="22" borderId="84" xfId="0" applyFont="1" applyFill="1" applyBorder="1" applyAlignment="1">
      <alignment horizontal="center"/>
    </xf>
  </cellXfs>
  <cellStyles count="6">
    <cellStyle name="Lien hypertexte" xfId="1" builtinId="8"/>
    <cellStyle name="Lien hypertexte 2" xfId="3" xr:uid="{9F8501E0-D31E-4023-814B-8CD4B81D00CD}"/>
    <cellStyle name="Lien hypertexte 3" xfId="5" xr:uid="{410F713C-6511-4E55-B708-AC02432343E3}"/>
    <cellStyle name="Normal" xfId="0" builtinId="0"/>
    <cellStyle name="Normal 2" xfId="2" xr:uid="{5E90AA2D-632F-4F02-99C3-DE9313BC2BB4}"/>
    <cellStyle name="Normal 3" xfId="4" xr:uid="{A107B8C8-D731-4E43-BC6E-80002243F068}"/>
  </cellStyles>
  <dxfs count="489">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b val="0"/>
        <i val="0"/>
        <color theme="0"/>
      </font>
      <fill>
        <patternFill>
          <bgColor rgb="FF0070C0"/>
        </patternFill>
      </fill>
    </dxf>
    <dxf>
      <font>
        <b val="0"/>
        <i val="0"/>
        <color theme="0"/>
      </font>
      <fill>
        <patternFill>
          <bgColor rgb="FFFF000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b val="0"/>
        <i val="0"/>
        <color theme="0"/>
      </font>
      <fill>
        <patternFill>
          <bgColor rgb="FF0070C0"/>
        </patternFill>
      </fill>
    </dxf>
    <dxf>
      <font>
        <b val="0"/>
        <i val="0"/>
        <color theme="0"/>
      </font>
      <fill>
        <patternFill>
          <bgColor rgb="FFFF000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b val="0"/>
        <i val="0"/>
        <color theme="0"/>
      </font>
      <fill>
        <patternFill>
          <bgColor rgb="FF0070C0"/>
        </patternFill>
      </fill>
    </dxf>
    <dxf>
      <font>
        <b val="0"/>
        <i val="0"/>
        <color theme="0"/>
      </font>
      <fill>
        <patternFill>
          <bgColor rgb="FFFF000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b val="0"/>
        <i val="0"/>
        <color theme="0"/>
      </font>
      <fill>
        <patternFill>
          <bgColor rgb="FF0070C0"/>
        </patternFill>
      </fill>
    </dxf>
    <dxf>
      <font>
        <b val="0"/>
        <i val="0"/>
        <color theme="0"/>
      </font>
      <fill>
        <patternFill>
          <bgColor rgb="FFFF000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color theme="1"/>
      </font>
      <fill>
        <patternFill>
          <bgColor theme="9" tint="0.39994506668294322"/>
        </patternFill>
      </fill>
    </dxf>
    <dxf>
      <fill>
        <patternFill>
          <bgColor rgb="FF00B050"/>
        </patternFill>
      </fill>
    </dxf>
    <dxf>
      <font>
        <b val="0"/>
        <i val="0"/>
        <color theme="0"/>
      </font>
      <fill>
        <patternFill>
          <bgColor rgb="FF0070C0"/>
        </patternFill>
      </fill>
    </dxf>
    <dxf>
      <font>
        <b val="0"/>
        <i val="0"/>
        <color theme="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2e.aonprd.com/Deities.aspx?ID=4" TargetMode="External"/><Relationship Id="rId21" Type="http://schemas.openxmlformats.org/officeDocument/2006/relationships/hyperlink" Target="https://2e.aonprd.com/DruidicOrders.aspx" TargetMode="External"/><Relationship Id="rId42" Type="http://schemas.openxmlformats.org/officeDocument/2006/relationships/hyperlink" Target="https://2e.aonprd.com/Deities.aspx?ID=16" TargetMode="External"/><Relationship Id="rId47" Type="http://schemas.openxmlformats.org/officeDocument/2006/relationships/hyperlink" Target="https://2e.aonprd.com/Feats.aspx?ID=839" TargetMode="External"/><Relationship Id="rId63" Type="http://schemas.openxmlformats.org/officeDocument/2006/relationships/hyperlink" Target="https://2e.aonprd.com/ArcaneThesis.aspx?ID=1" TargetMode="External"/><Relationship Id="rId68" Type="http://schemas.openxmlformats.org/officeDocument/2006/relationships/hyperlink" Target="https://2e.aonprd.com/ClassKits.aspx?ID=5" TargetMode="External"/><Relationship Id="rId84" Type="http://schemas.openxmlformats.org/officeDocument/2006/relationships/hyperlink" Target="https://2e.aonprd.com/Feats.aspx?ID=844" TargetMode="External"/><Relationship Id="rId89" Type="http://schemas.openxmlformats.org/officeDocument/2006/relationships/hyperlink" Target="https://2e.aonprd.com/Backgrounds.aspx?ID=168" TargetMode="External"/><Relationship Id="rId16" Type="http://schemas.openxmlformats.org/officeDocument/2006/relationships/hyperlink" Target="https://2e.aonprd.com/Classes.aspx?ID=12" TargetMode="External"/><Relationship Id="rId11" Type="http://schemas.openxmlformats.org/officeDocument/2006/relationships/hyperlink" Target="https://www.myth-weavers.com/sheet.html" TargetMode="External"/><Relationship Id="rId32" Type="http://schemas.openxmlformats.org/officeDocument/2006/relationships/hyperlink" Target="https://2e.aonprd.com/Backgrounds.aspx?ID=35" TargetMode="External"/><Relationship Id="rId37" Type="http://schemas.openxmlformats.org/officeDocument/2006/relationships/hyperlink" Target="https://2e.aonprd.com/Heritages.aspx?ID=18" TargetMode="External"/><Relationship Id="rId53" Type="http://schemas.openxmlformats.org/officeDocument/2006/relationships/hyperlink" Target="https://2e.aonprd.com/Actions.aspx?ID=48" TargetMode="External"/><Relationship Id="rId58" Type="http://schemas.openxmlformats.org/officeDocument/2006/relationships/hyperlink" Target="https://2e.aonprd.com/Feats.aspx?ID=134" TargetMode="External"/><Relationship Id="rId74" Type="http://schemas.openxmlformats.org/officeDocument/2006/relationships/hyperlink" Target="https://2e.aonprd.com/Feats.aspx?ID=360" TargetMode="External"/><Relationship Id="rId79" Type="http://schemas.openxmlformats.org/officeDocument/2006/relationships/hyperlink" Target="https://2e.aonprd.com/Classes.aspx?ID=3" TargetMode="External"/><Relationship Id="rId5" Type="http://schemas.openxmlformats.org/officeDocument/2006/relationships/hyperlink" Target="https://2e.aonprd.com/Ancestries.aspx?ID=2" TargetMode="External"/><Relationship Id="rId90" Type="http://schemas.openxmlformats.org/officeDocument/2006/relationships/hyperlink" Target="https://2e.aonprd.com/Classes.aspx?ID=10" TargetMode="External"/><Relationship Id="rId95" Type="http://schemas.openxmlformats.org/officeDocument/2006/relationships/hyperlink" Target="https://2e.aonprd.com/Feats.aspx?ID=2149" TargetMode="External"/><Relationship Id="rId22" Type="http://schemas.openxmlformats.org/officeDocument/2006/relationships/hyperlink" Target="https://2e.aonprd.com/Feats.aspx?ID=311" TargetMode="External"/><Relationship Id="rId27" Type="http://schemas.openxmlformats.org/officeDocument/2006/relationships/hyperlink" Target="https://2e.aonprd.com/Spells.aspx?ID=474" TargetMode="External"/><Relationship Id="rId43" Type="http://schemas.openxmlformats.org/officeDocument/2006/relationships/hyperlink" Target="https://2e.aonprd.com/Feats.aspx?ID=13" TargetMode="External"/><Relationship Id="rId48" Type="http://schemas.openxmlformats.org/officeDocument/2006/relationships/hyperlink" Target="https://2e.aonprd.com/Feats.aspx?ID=839" TargetMode="External"/><Relationship Id="rId64" Type="http://schemas.openxmlformats.org/officeDocument/2006/relationships/hyperlink" Target="https://2e.aonprd.com/Feats.aspx?ID=604" TargetMode="External"/><Relationship Id="rId69" Type="http://schemas.openxmlformats.org/officeDocument/2006/relationships/hyperlink" Target="https://2e.aonprd.com/ClassKits.aspx?ID=7" TargetMode="External"/><Relationship Id="rId80" Type="http://schemas.openxmlformats.org/officeDocument/2006/relationships/hyperlink" Target="https://2e.aonprd.com/ClassKits.aspx?ID=3" TargetMode="External"/><Relationship Id="rId85" Type="http://schemas.openxmlformats.org/officeDocument/2006/relationships/hyperlink" Target="https://2e.aonprd.com/Deities.aspx?ID=1" TargetMode="External"/><Relationship Id="rId12" Type="http://schemas.openxmlformats.org/officeDocument/2006/relationships/hyperlink" Target="https://2e.aonprd.com/Classes.aspx?ID=2" TargetMode="External"/><Relationship Id="rId17" Type="http://schemas.openxmlformats.org/officeDocument/2006/relationships/hyperlink" Target="https://2e.aonprd.com/Ancestries.aspx?ID=1" TargetMode="External"/><Relationship Id="rId25" Type="http://schemas.openxmlformats.org/officeDocument/2006/relationships/hyperlink" Target="https://2e.aonprd.com/Feats.aspx?ID=811" TargetMode="External"/><Relationship Id="rId33" Type="http://schemas.openxmlformats.org/officeDocument/2006/relationships/hyperlink" Target="https://www.myth-weavers.com/sheet.html" TargetMode="External"/><Relationship Id="rId38" Type="http://schemas.openxmlformats.org/officeDocument/2006/relationships/hyperlink" Target="https://2e.aonprd.com/Deities.aspx?ID=8" TargetMode="External"/><Relationship Id="rId46" Type="http://schemas.openxmlformats.org/officeDocument/2006/relationships/hyperlink" Target="https://2e.aonprd.com/Spells.aspx?ID=426" TargetMode="External"/><Relationship Id="rId59" Type="http://schemas.openxmlformats.org/officeDocument/2006/relationships/hyperlink" Target="https://2e.aonprd.com/Feats.aspx?ID=765" TargetMode="External"/><Relationship Id="rId67" Type="http://schemas.openxmlformats.org/officeDocument/2006/relationships/hyperlink" Target="https://2e.aonprd.com/ClassKits.aspx?ID=2" TargetMode="External"/><Relationship Id="rId20" Type="http://schemas.openxmlformats.org/officeDocument/2006/relationships/hyperlink" Target="https://2e.aonprd.com/Rackets.aspx" TargetMode="External"/><Relationship Id="rId41" Type="http://schemas.openxmlformats.org/officeDocument/2006/relationships/hyperlink" Target="https://2e.aonprd.com/Heritages.aspx?ID=35" TargetMode="External"/><Relationship Id="rId54" Type="http://schemas.openxmlformats.org/officeDocument/2006/relationships/hyperlink" Target="https://2e.aonprd.com/Feats.aspx?ID=550" TargetMode="External"/><Relationship Id="rId62" Type="http://schemas.openxmlformats.org/officeDocument/2006/relationships/hyperlink" Target="https://2e.aonprd.com/Feats.aspx?ID=2" TargetMode="External"/><Relationship Id="rId70" Type="http://schemas.openxmlformats.org/officeDocument/2006/relationships/hyperlink" Target="https://2e.aonprd.com/ClassKits.aspx?ID=6" TargetMode="External"/><Relationship Id="rId75" Type="http://schemas.openxmlformats.org/officeDocument/2006/relationships/hyperlink" Target="https://2e.aonprd.com/Feats.aspx?ID=15" TargetMode="External"/><Relationship Id="rId83" Type="http://schemas.openxmlformats.org/officeDocument/2006/relationships/hyperlink" Target="https://2e.aonprd.com/Feats.aspx?ID=86" TargetMode="External"/><Relationship Id="rId88" Type="http://schemas.openxmlformats.org/officeDocument/2006/relationships/hyperlink" Target="https://2e.aonprd.com/Spells.aspx?ID=381" TargetMode="External"/><Relationship Id="rId91" Type="http://schemas.openxmlformats.org/officeDocument/2006/relationships/hyperlink" Target="https://2e.aonprd.com/Ancestries.aspx?ID=4" TargetMode="External"/><Relationship Id="rId96" Type="http://schemas.openxmlformats.org/officeDocument/2006/relationships/hyperlink" Target="https://2e.aonprd.com/Feats.aspx?ID=41" TargetMode="External"/><Relationship Id="rId1" Type="http://schemas.openxmlformats.org/officeDocument/2006/relationships/hyperlink" Target="https://2e.aonprd.com/Ancestries.aspx?ID=4" TargetMode="External"/><Relationship Id="rId6" Type="http://schemas.openxmlformats.org/officeDocument/2006/relationships/hyperlink" Target="https://2e.aonprd.com/Ancestries.aspx?ID=6" TargetMode="External"/><Relationship Id="rId15" Type="http://schemas.openxmlformats.org/officeDocument/2006/relationships/hyperlink" Target="https://2e.aonprd.com/Classes.aspx?ID=5" TargetMode="External"/><Relationship Id="rId23" Type="http://schemas.openxmlformats.org/officeDocument/2006/relationships/hyperlink" Target="https://2e.aonprd.com/Feats.aspx?ID=847" TargetMode="External"/><Relationship Id="rId28" Type="http://schemas.openxmlformats.org/officeDocument/2006/relationships/hyperlink" Target="https://2e.aonprd.com/Feats.aspx?ID=796" TargetMode="External"/><Relationship Id="rId36" Type="http://schemas.openxmlformats.org/officeDocument/2006/relationships/hyperlink" Target="https://2e.aonprd.com/Actions.aspx?ID=45" TargetMode="External"/><Relationship Id="rId49" Type="http://schemas.openxmlformats.org/officeDocument/2006/relationships/hyperlink" Target="https://2e.aonprd.com/DruidicOrders.aspx?ID=1" TargetMode="External"/><Relationship Id="rId57" Type="http://schemas.openxmlformats.org/officeDocument/2006/relationships/hyperlink" Target="https://2e.aonprd.com/Deities.aspx?ID=84" TargetMode="External"/><Relationship Id="rId10" Type="http://schemas.openxmlformats.org/officeDocument/2006/relationships/hyperlink" Target="https://2e.aonprd.com/Backgrounds.aspx?ID=49" TargetMode="External"/><Relationship Id="rId31" Type="http://schemas.openxmlformats.org/officeDocument/2006/relationships/hyperlink" Target="https://www.myth-weavers.com/sheet.html" TargetMode="External"/><Relationship Id="rId44" Type="http://schemas.openxmlformats.org/officeDocument/2006/relationships/hyperlink" Target="https://2e.aonprd.com/Doctrines.aspx?ID=2" TargetMode="External"/><Relationship Id="rId52" Type="http://schemas.openxmlformats.org/officeDocument/2006/relationships/hyperlink" Target="https://2e.aonprd.com/Actions.aspx?ID=8" TargetMode="External"/><Relationship Id="rId60" Type="http://schemas.openxmlformats.org/officeDocument/2006/relationships/hyperlink" Target="https://2e.aonprd.com/Heritages.aspx?ID=18" TargetMode="External"/><Relationship Id="rId65" Type="http://schemas.openxmlformats.org/officeDocument/2006/relationships/hyperlink" Target="https://2e.aonprd.com/Heritages.aspx?ID=10" TargetMode="External"/><Relationship Id="rId73" Type="http://schemas.openxmlformats.org/officeDocument/2006/relationships/hyperlink" Target="https://2e.aonprd.com/Feats.aspx?ID=359" TargetMode="External"/><Relationship Id="rId78" Type="http://schemas.openxmlformats.org/officeDocument/2006/relationships/hyperlink" Target="https://2e.aonprd.com/Ancestries.aspx?ID=6" TargetMode="External"/><Relationship Id="rId81" Type="http://schemas.openxmlformats.org/officeDocument/2006/relationships/hyperlink" Target="https://www.myth-weavers.com/sheet.html" TargetMode="External"/><Relationship Id="rId86" Type="http://schemas.openxmlformats.org/officeDocument/2006/relationships/hyperlink" Target="https://2e.aonprd.com/Muses.aspx?ID=1" TargetMode="External"/><Relationship Id="rId94" Type="http://schemas.openxmlformats.org/officeDocument/2006/relationships/hyperlink" Target="https://2e.aonprd.com/ClassKits.aspx?ID=10" TargetMode="External"/><Relationship Id="rId99" Type="http://schemas.openxmlformats.org/officeDocument/2006/relationships/hyperlink" Target="https://2e.aonprd.com/Deities.aspx?ID=5" TargetMode="External"/><Relationship Id="rId101" Type="http://schemas.openxmlformats.org/officeDocument/2006/relationships/printerSettings" Target="../printerSettings/printerSettings1.bin"/><Relationship Id="rId4" Type="http://schemas.openxmlformats.org/officeDocument/2006/relationships/hyperlink" Target="https://2e.aonprd.com/Ancestries.aspx?ID=2" TargetMode="External"/><Relationship Id="rId9" Type="http://schemas.openxmlformats.org/officeDocument/2006/relationships/hyperlink" Target="https://2e.aonprd.com/Backgrounds.aspx?ID=44" TargetMode="External"/><Relationship Id="rId13" Type="http://schemas.openxmlformats.org/officeDocument/2006/relationships/hyperlink" Target="https://2e.aonprd.com/Classes.aspx?ID=10" TargetMode="External"/><Relationship Id="rId18" Type="http://schemas.openxmlformats.org/officeDocument/2006/relationships/hyperlink" Target="https://2e.aonprd.com/Deities.aspx?ID=12" TargetMode="External"/><Relationship Id="rId39" Type="http://schemas.openxmlformats.org/officeDocument/2006/relationships/hyperlink" Target="https://2e.aonprd.com/Feats.aspx?ID=38" TargetMode="External"/><Relationship Id="rId34" Type="http://schemas.openxmlformats.org/officeDocument/2006/relationships/hyperlink" Target="https://2e.aonprd.com/Feats.aspx?ID=796" TargetMode="External"/><Relationship Id="rId50" Type="http://schemas.openxmlformats.org/officeDocument/2006/relationships/hyperlink" Target="https://2e.aonprd.com/Actions.aspx?ID=13" TargetMode="External"/><Relationship Id="rId55" Type="http://schemas.openxmlformats.org/officeDocument/2006/relationships/hyperlink" Target="https://www.myth-weavers.com/sheet.html" TargetMode="External"/><Relationship Id="rId76" Type="http://schemas.openxmlformats.org/officeDocument/2006/relationships/hyperlink" Target="https://2e.aonprd.com/Deities.aspx?ID=9" TargetMode="External"/><Relationship Id="rId97" Type="http://schemas.openxmlformats.org/officeDocument/2006/relationships/hyperlink" Target="https://2e.aonprd.com/Feats.aspx?ID=550" TargetMode="External"/><Relationship Id="rId7" Type="http://schemas.openxmlformats.org/officeDocument/2006/relationships/hyperlink" Target="https://2e.aonprd.com/Backgrounds.aspx?ID=42" TargetMode="External"/><Relationship Id="rId71" Type="http://schemas.openxmlformats.org/officeDocument/2006/relationships/hyperlink" Target="https://2e.aonprd.com/ClassKits.aspx?ID=12" TargetMode="External"/><Relationship Id="rId92" Type="http://schemas.openxmlformats.org/officeDocument/2006/relationships/hyperlink" Target="https://2e.aonprd.com/Heritages.aspx?ID=18" TargetMode="External"/><Relationship Id="rId2" Type="http://schemas.openxmlformats.org/officeDocument/2006/relationships/hyperlink" Target="https://2e.aonprd.com/Classes.aspx?ID=6" TargetMode="External"/><Relationship Id="rId29" Type="http://schemas.openxmlformats.org/officeDocument/2006/relationships/hyperlink" Target="https://2e.aonprd.com/ArcaneSchools.aspx?ID=4" TargetMode="External"/><Relationship Id="rId24" Type="http://schemas.openxmlformats.org/officeDocument/2006/relationships/hyperlink" Target="https://2e.aonprd.com/Spells.aspx?ID=523" TargetMode="External"/><Relationship Id="rId40" Type="http://schemas.openxmlformats.org/officeDocument/2006/relationships/hyperlink" Target="https://www.myth-weavers.com/sheet.html" TargetMode="External"/><Relationship Id="rId45" Type="http://schemas.openxmlformats.org/officeDocument/2006/relationships/hyperlink" Target="https://2e.aonprd.com/Domains.aspx?ID=15" TargetMode="External"/><Relationship Id="rId66" Type="http://schemas.openxmlformats.org/officeDocument/2006/relationships/hyperlink" Target="https://2e.aonprd.com/ClassKits.aspx?ID=10" TargetMode="External"/><Relationship Id="rId87" Type="http://schemas.openxmlformats.org/officeDocument/2006/relationships/hyperlink" Target="https://www.myth-weavers.com/sheet.html" TargetMode="External"/><Relationship Id="rId61" Type="http://schemas.openxmlformats.org/officeDocument/2006/relationships/hyperlink" Target="https://2e.aonprd.com/Instincts.aspx?ID=5" TargetMode="External"/><Relationship Id="rId82" Type="http://schemas.openxmlformats.org/officeDocument/2006/relationships/hyperlink" Target="https://2e.aonprd.com/Backgrounds.aspx?ID=5" TargetMode="External"/><Relationship Id="rId19" Type="http://schemas.openxmlformats.org/officeDocument/2006/relationships/hyperlink" Target="https://2e.aonprd.com/Heritages.aspx?ID=7" TargetMode="External"/><Relationship Id="rId14" Type="http://schemas.openxmlformats.org/officeDocument/2006/relationships/hyperlink" Target="https://2e.aonprd.com/Classes.aspx?ID=7" TargetMode="External"/><Relationship Id="rId30" Type="http://schemas.openxmlformats.org/officeDocument/2006/relationships/hyperlink" Target="https://2e.aonprd.com/Feats.aspx?ID=17" TargetMode="External"/><Relationship Id="rId35" Type="http://schemas.openxmlformats.org/officeDocument/2006/relationships/hyperlink" Target="https://2e.aonprd.com/Feats.aspx?ID=818" TargetMode="External"/><Relationship Id="rId56" Type="http://schemas.openxmlformats.org/officeDocument/2006/relationships/hyperlink" Target="https://2e.aonprd.com/Backgrounds.aspx?ID=24" TargetMode="External"/><Relationship Id="rId77" Type="http://schemas.openxmlformats.org/officeDocument/2006/relationships/hyperlink" Target="https://2e.aonprd.com/Ancestries.aspx?ID=8" TargetMode="External"/><Relationship Id="rId100" Type="http://schemas.openxmlformats.org/officeDocument/2006/relationships/hyperlink" Target="https://www.myth-weavers.com/sheet.html" TargetMode="External"/><Relationship Id="rId8" Type="http://schemas.openxmlformats.org/officeDocument/2006/relationships/hyperlink" Target="https://2e.aonprd.com/Backgrounds.aspx?ID=50" TargetMode="External"/><Relationship Id="rId51" Type="http://schemas.openxmlformats.org/officeDocument/2006/relationships/hyperlink" Target="https://2e.aonprd.com/Actions.aspx?ID=3" TargetMode="External"/><Relationship Id="rId72" Type="http://schemas.openxmlformats.org/officeDocument/2006/relationships/hyperlink" Target="https://2e.aonprd.com/Heritages.aspx?ID=29" TargetMode="External"/><Relationship Id="rId93" Type="http://schemas.openxmlformats.org/officeDocument/2006/relationships/hyperlink" Target="https://2e.aonprd.com/Rackets.aspx?ID=3" TargetMode="External"/><Relationship Id="rId98" Type="http://schemas.openxmlformats.org/officeDocument/2006/relationships/hyperlink" Target="https://2e.aonprd.com/Rackets.aspx?ID=3" TargetMode="External"/><Relationship Id="rId3" Type="http://schemas.openxmlformats.org/officeDocument/2006/relationships/hyperlink" Target="https://2e.aonprd.com/Ancestries.aspx?ID=2"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yth-weavers.com/sheet.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yth-weavers.com/sheet.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yth-weavers.com/sheet.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yth-weavers.com/sheet.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yth-weavers.com/sheet.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yth-weavers.com/sheet.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yth-weavers.com/sheet.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yth-weavers.com/shee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2e.aonprd.com/Ancestries.aspx?ID=2" TargetMode="External"/><Relationship Id="rId18" Type="http://schemas.openxmlformats.org/officeDocument/2006/relationships/hyperlink" Target="https://2e.aonprd.com/Ancestries.aspx?ID=4" TargetMode="External"/><Relationship Id="rId26" Type="http://schemas.openxmlformats.org/officeDocument/2006/relationships/hyperlink" Target="https://2e.aonprd.com/Heritages.aspx?ID=35" TargetMode="External"/><Relationship Id="rId39" Type="http://schemas.openxmlformats.org/officeDocument/2006/relationships/hyperlink" Target="https://2e.aonprd.com/Deities.aspx?ID=84" TargetMode="External"/><Relationship Id="rId21" Type="http://schemas.openxmlformats.org/officeDocument/2006/relationships/hyperlink" Target="https://2e.aonprd.com/Backgrounds.aspx?ID=44" TargetMode="External"/><Relationship Id="rId34" Type="http://schemas.openxmlformats.org/officeDocument/2006/relationships/hyperlink" Target="https://2e.aonprd.com/Heritages.aspx?ID=18" TargetMode="External"/><Relationship Id="rId42" Type="http://schemas.openxmlformats.org/officeDocument/2006/relationships/hyperlink" Target="https://2e.aonprd.com/Deities.aspx?ID=5" TargetMode="External"/><Relationship Id="rId47" Type="http://schemas.openxmlformats.org/officeDocument/2006/relationships/hyperlink" Target="https://2e.aonprd.com/Classes.aspx?ID=5" TargetMode="External"/><Relationship Id="rId50" Type="http://schemas.openxmlformats.org/officeDocument/2006/relationships/hyperlink" Target="https://2e.aonprd.com/Classes.aspx?ID=10" TargetMode="External"/><Relationship Id="rId55" Type="http://schemas.openxmlformats.org/officeDocument/2006/relationships/hyperlink" Target="https://2e.aonprd.com/Muses.aspx?ID=1" TargetMode="External"/><Relationship Id="rId7" Type="http://schemas.openxmlformats.org/officeDocument/2006/relationships/hyperlink" Target="https://2e.aonprd.com/Monsters.aspx?ID=118" TargetMode="External"/><Relationship Id="rId2" Type="http://schemas.openxmlformats.org/officeDocument/2006/relationships/hyperlink" Target="https://www.myth-weavers.com/sheet.html" TargetMode="External"/><Relationship Id="rId16" Type="http://schemas.openxmlformats.org/officeDocument/2006/relationships/hyperlink" Target="https://2e.aonprd.com/Ancestries.aspx?ID=1" TargetMode="External"/><Relationship Id="rId29" Type="http://schemas.openxmlformats.org/officeDocument/2006/relationships/hyperlink" Target="https://2e.aonprd.com/Heritages.aspx?ID=10" TargetMode="External"/><Relationship Id="rId11" Type="http://schemas.openxmlformats.org/officeDocument/2006/relationships/hyperlink" Target="https://2e.aonprd.com/Ancestries.aspx?ID=4" TargetMode="External"/><Relationship Id="rId24" Type="http://schemas.openxmlformats.org/officeDocument/2006/relationships/hyperlink" Target="https://2e.aonprd.com/Backgrounds.aspx?ID=35" TargetMode="External"/><Relationship Id="rId32" Type="http://schemas.openxmlformats.org/officeDocument/2006/relationships/hyperlink" Target="https://2e.aonprd.com/Backgrounds.aspx?ID=5" TargetMode="External"/><Relationship Id="rId37" Type="http://schemas.openxmlformats.org/officeDocument/2006/relationships/hyperlink" Target="https://2e.aonprd.com/Deities.aspx?ID=8" TargetMode="External"/><Relationship Id="rId40" Type="http://schemas.openxmlformats.org/officeDocument/2006/relationships/hyperlink" Target="https://2e.aonprd.com/Deities.aspx?ID=9" TargetMode="External"/><Relationship Id="rId45" Type="http://schemas.openxmlformats.org/officeDocument/2006/relationships/hyperlink" Target="https://2e.aonprd.com/Classes.aspx?ID=10" TargetMode="External"/><Relationship Id="rId53" Type="http://schemas.openxmlformats.org/officeDocument/2006/relationships/hyperlink" Target="https://2e.aonprd.com/ArcaneSchools.aspx?ID=4" TargetMode="External"/><Relationship Id="rId58" Type="http://schemas.openxmlformats.org/officeDocument/2006/relationships/hyperlink" Target="https://2e.aonprd.com/Familiars.aspx" TargetMode="External"/><Relationship Id="rId5" Type="http://schemas.openxmlformats.org/officeDocument/2006/relationships/hyperlink" Target="https://www.myth-weavers.com/sheet.html" TargetMode="External"/><Relationship Id="rId61" Type="http://schemas.openxmlformats.org/officeDocument/2006/relationships/printerSettings" Target="../printerSettings/printerSettings3.bin"/><Relationship Id="rId19" Type="http://schemas.openxmlformats.org/officeDocument/2006/relationships/hyperlink" Target="https://2e.aonprd.com/Backgrounds.aspx?ID=42" TargetMode="External"/><Relationship Id="rId14" Type="http://schemas.openxmlformats.org/officeDocument/2006/relationships/hyperlink" Target="https://2e.aonprd.com/Ancestries.aspx?ID=2" TargetMode="External"/><Relationship Id="rId22" Type="http://schemas.openxmlformats.org/officeDocument/2006/relationships/hyperlink" Target="https://2e.aonprd.com/Backgrounds.aspx?ID=49" TargetMode="External"/><Relationship Id="rId27" Type="http://schemas.openxmlformats.org/officeDocument/2006/relationships/hyperlink" Target="https://2e.aonprd.com/Backgrounds.aspx?ID=24" TargetMode="External"/><Relationship Id="rId30" Type="http://schemas.openxmlformats.org/officeDocument/2006/relationships/hyperlink" Target="https://2e.aonprd.com/Heritages.aspx?ID=29" TargetMode="External"/><Relationship Id="rId35" Type="http://schemas.openxmlformats.org/officeDocument/2006/relationships/hyperlink" Target="https://2e.aonprd.com/Deities.aspx?ID=12" TargetMode="External"/><Relationship Id="rId43" Type="http://schemas.openxmlformats.org/officeDocument/2006/relationships/hyperlink" Target="https://2e.aonprd.com/Classes.aspx?ID=6" TargetMode="External"/><Relationship Id="rId48" Type="http://schemas.openxmlformats.org/officeDocument/2006/relationships/hyperlink" Target="https://2e.aonprd.com/Classes.aspx?ID=12" TargetMode="External"/><Relationship Id="rId56" Type="http://schemas.openxmlformats.org/officeDocument/2006/relationships/hyperlink" Target="https://2e.aonprd.com/Rackets.aspx?ID=3" TargetMode="External"/><Relationship Id="rId8" Type="http://schemas.openxmlformats.org/officeDocument/2006/relationships/hyperlink" Target="https://2e.aonprd.com/Monsters.aspx?ID=118" TargetMode="External"/><Relationship Id="rId51" Type="http://schemas.openxmlformats.org/officeDocument/2006/relationships/hyperlink" Target="https://2e.aonprd.com/Rackets.aspx" TargetMode="External"/><Relationship Id="rId3" Type="http://schemas.openxmlformats.org/officeDocument/2006/relationships/hyperlink" Target="https://www.myth-weavers.com/sheet.html" TargetMode="External"/><Relationship Id="rId12" Type="http://schemas.openxmlformats.org/officeDocument/2006/relationships/hyperlink" Target="https://2e.aonprd.com/Ancestries.aspx?ID=2" TargetMode="External"/><Relationship Id="rId17" Type="http://schemas.openxmlformats.org/officeDocument/2006/relationships/hyperlink" Target="https://2e.aonprd.com/Ancestries.aspx?ID=6" TargetMode="External"/><Relationship Id="rId25" Type="http://schemas.openxmlformats.org/officeDocument/2006/relationships/hyperlink" Target="https://2e.aonprd.com/Heritages.aspx?ID=18" TargetMode="External"/><Relationship Id="rId33" Type="http://schemas.openxmlformats.org/officeDocument/2006/relationships/hyperlink" Target="https://2e.aonprd.com/Backgrounds.aspx?ID=168" TargetMode="External"/><Relationship Id="rId38" Type="http://schemas.openxmlformats.org/officeDocument/2006/relationships/hyperlink" Target="https://2e.aonprd.com/Deities.aspx?ID=16" TargetMode="External"/><Relationship Id="rId46" Type="http://schemas.openxmlformats.org/officeDocument/2006/relationships/hyperlink" Target="https://2e.aonprd.com/Classes.aspx?ID=7" TargetMode="External"/><Relationship Id="rId59" Type="http://schemas.openxmlformats.org/officeDocument/2006/relationships/hyperlink" Target="https://2e.aonprd.com/Rules.aspx?ID=160" TargetMode="External"/><Relationship Id="rId20" Type="http://schemas.openxmlformats.org/officeDocument/2006/relationships/hyperlink" Target="https://2e.aonprd.com/Backgrounds.aspx?ID=50" TargetMode="External"/><Relationship Id="rId41" Type="http://schemas.openxmlformats.org/officeDocument/2006/relationships/hyperlink" Target="https://2e.aonprd.com/Deities.aspx?ID=1" TargetMode="External"/><Relationship Id="rId54" Type="http://schemas.openxmlformats.org/officeDocument/2006/relationships/hyperlink" Target="https://2e.aonprd.com/Instincts.aspx?ID=5" TargetMode="External"/><Relationship Id="rId1" Type="http://schemas.openxmlformats.org/officeDocument/2006/relationships/hyperlink" Target="https://www.myth-weavers.com/sheet.html" TargetMode="External"/><Relationship Id="rId6" Type="http://schemas.openxmlformats.org/officeDocument/2006/relationships/hyperlink" Target="https://www.myth-weavers.com/sheet.html" TargetMode="External"/><Relationship Id="rId15" Type="http://schemas.openxmlformats.org/officeDocument/2006/relationships/hyperlink" Target="https://2e.aonprd.com/Ancestries.aspx?ID=6" TargetMode="External"/><Relationship Id="rId23" Type="http://schemas.openxmlformats.org/officeDocument/2006/relationships/hyperlink" Target="https://2e.aonprd.com/Heritages.aspx?ID=7" TargetMode="External"/><Relationship Id="rId28" Type="http://schemas.openxmlformats.org/officeDocument/2006/relationships/hyperlink" Target="https://2e.aonprd.com/Heritages.aspx?ID=18" TargetMode="External"/><Relationship Id="rId36" Type="http://schemas.openxmlformats.org/officeDocument/2006/relationships/hyperlink" Target="https://2e.aonprd.com/Deities.aspx?ID=4" TargetMode="External"/><Relationship Id="rId49" Type="http://schemas.openxmlformats.org/officeDocument/2006/relationships/hyperlink" Target="https://2e.aonprd.com/Classes.aspx?ID=3" TargetMode="External"/><Relationship Id="rId57" Type="http://schemas.openxmlformats.org/officeDocument/2006/relationships/hyperlink" Target="https://2e.aonprd.com/AnimalCompanions.aspx?ID=5" TargetMode="External"/><Relationship Id="rId10" Type="http://schemas.openxmlformats.org/officeDocument/2006/relationships/hyperlink" Target="https://www.myth-weavers.com/sheet.html" TargetMode="External"/><Relationship Id="rId31" Type="http://schemas.openxmlformats.org/officeDocument/2006/relationships/hyperlink" Target="https://2e.aonprd.com/Ancestries.aspx?ID=8" TargetMode="External"/><Relationship Id="rId44" Type="http://schemas.openxmlformats.org/officeDocument/2006/relationships/hyperlink" Target="https://2e.aonprd.com/Classes.aspx?ID=2" TargetMode="External"/><Relationship Id="rId52" Type="http://schemas.openxmlformats.org/officeDocument/2006/relationships/hyperlink" Target="https://2e.aonprd.com/DruidicOrders.aspx" TargetMode="External"/><Relationship Id="rId60" Type="http://schemas.openxmlformats.org/officeDocument/2006/relationships/hyperlink" Target="https://2e.aonprd.com/Rules.aspx?ID=149" TargetMode="External"/><Relationship Id="rId4" Type="http://schemas.openxmlformats.org/officeDocument/2006/relationships/hyperlink" Target="https://www.myth-weavers.com/sheet.html" TargetMode="External"/><Relationship Id="rId9" Type="http://schemas.openxmlformats.org/officeDocument/2006/relationships/hyperlink" Target="https://www.myth-weavers.com/sheet.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2e.aonprd.com/Backgrounds.aspx?ID=44" TargetMode="External"/><Relationship Id="rId13" Type="http://schemas.openxmlformats.org/officeDocument/2006/relationships/hyperlink" Target="https://2e.aonprd.com/Backgrounds.aspx?ID=5" TargetMode="External"/><Relationship Id="rId3" Type="http://schemas.openxmlformats.org/officeDocument/2006/relationships/hyperlink" Target="https://www.myth-weavers.com/sheet.html" TargetMode="External"/><Relationship Id="rId7" Type="http://schemas.openxmlformats.org/officeDocument/2006/relationships/hyperlink" Target="https://2e.aonprd.com/Backgrounds.aspx?ID=50" TargetMode="External"/><Relationship Id="rId12" Type="http://schemas.openxmlformats.org/officeDocument/2006/relationships/hyperlink" Target="https://www.myth-weavers.com/sheet.html" TargetMode="External"/><Relationship Id="rId2" Type="http://schemas.openxmlformats.org/officeDocument/2006/relationships/hyperlink" Target="https://www.myth-weavers.com/sheet.html" TargetMode="External"/><Relationship Id="rId1" Type="http://schemas.openxmlformats.org/officeDocument/2006/relationships/hyperlink" Target="https://www.myth-weavers.com/sheet.html" TargetMode="External"/><Relationship Id="rId6" Type="http://schemas.openxmlformats.org/officeDocument/2006/relationships/hyperlink" Target="https://www.myth-weavers.com/sheet.html" TargetMode="External"/><Relationship Id="rId11" Type="http://schemas.openxmlformats.org/officeDocument/2006/relationships/hyperlink" Target="https://2e.aonprd.com/Backgrounds.aspx?ID=50" TargetMode="External"/><Relationship Id="rId5" Type="http://schemas.openxmlformats.org/officeDocument/2006/relationships/hyperlink" Target="https://www.myth-weavers.com/sheet.html" TargetMode="External"/><Relationship Id="rId15" Type="http://schemas.openxmlformats.org/officeDocument/2006/relationships/hyperlink" Target="https://www.myth-weavers.com/sheet.html" TargetMode="External"/><Relationship Id="rId10" Type="http://schemas.openxmlformats.org/officeDocument/2006/relationships/hyperlink" Target="https://2e.aonprd.com/Monsters.aspx?ID=118" TargetMode="External"/><Relationship Id="rId4" Type="http://schemas.openxmlformats.org/officeDocument/2006/relationships/hyperlink" Target="https://www.myth-weavers.com/sheet.html" TargetMode="External"/><Relationship Id="rId9" Type="http://schemas.openxmlformats.org/officeDocument/2006/relationships/hyperlink" Target="https://2e.aonprd.com/Monsters.aspx?ID=118" TargetMode="External"/><Relationship Id="rId14" Type="http://schemas.openxmlformats.org/officeDocument/2006/relationships/hyperlink" Target="https://2e.aonprd.com/Backgrounds.aspx?ID=16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yth-weavers.com/sheet.html" TargetMode="External"/><Relationship Id="rId3" Type="http://schemas.openxmlformats.org/officeDocument/2006/relationships/hyperlink" Target="https://www.myth-weavers.com/sheet.html" TargetMode="External"/><Relationship Id="rId7" Type="http://schemas.openxmlformats.org/officeDocument/2006/relationships/hyperlink" Target="https://2e.aonprd.com/Monsters.aspx?ID=118" TargetMode="External"/><Relationship Id="rId2" Type="http://schemas.openxmlformats.org/officeDocument/2006/relationships/hyperlink" Target="https://www.myth-weavers.com/sheet.html" TargetMode="External"/><Relationship Id="rId1" Type="http://schemas.openxmlformats.org/officeDocument/2006/relationships/hyperlink" Target="https://www.myth-weavers.com/sheet.html" TargetMode="External"/><Relationship Id="rId6" Type="http://schemas.openxmlformats.org/officeDocument/2006/relationships/hyperlink" Target="https://www.myth-weavers.com/sheet.html" TargetMode="External"/><Relationship Id="rId5" Type="http://schemas.openxmlformats.org/officeDocument/2006/relationships/hyperlink" Target="https://www.myth-weavers.com/sheet.html" TargetMode="External"/><Relationship Id="rId10" Type="http://schemas.openxmlformats.org/officeDocument/2006/relationships/printerSettings" Target="../printerSettings/printerSettings4.bin"/><Relationship Id="rId4" Type="http://schemas.openxmlformats.org/officeDocument/2006/relationships/hyperlink" Target="https://www.myth-weavers.com/sheet.html" TargetMode="External"/><Relationship Id="rId9" Type="http://schemas.openxmlformats.org/officeDocument/2006/relationships/hyperlink" Target="https://www.myth-weavers.com/sheet.html"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2e.aonprd.com/Feats.aspx?ID=322" TargetMode="External"/><Relationship Id="rId21" Type="http://schemas.openxmlformats.org/officeDocument/2006/relationships/hyperlink" Target="https://2e.aonprd.com/Heritages.aspx?ID=18" TargetMode="External"/><Relationship Id="rId42" Type="http://schemas.openxmlformats.org/officeDocument/2006/relationships/hyperlink" Target="https://2e.aonprd.com/Instincts.aspx?ID=5" TargetMode="External"/><Relationship Id="rId63" Type="http://schemas.openxmlformats.org/officeDocument/2006/relationships/hyperlink" Target="https://2e.aonprd.com/Feats.aspx?ID=274" TargetMode="External"/><Relationship Id="rId84" Type="http://schemas.openxmlformats.org/officeDocument/2006/relationships/hyperlink" Target="https://2e.aonprd.com/SpellLists.aspx?Tradition=4" TargetMode="External"/><Relationship Id="rId138" Type="http://schemas.openxmlformats.org/officeDocument/2006/relationships/hyperlink" Target="https://2e.aonprd.com/Feats.aspx?ID=1783" TargetMode="External"/><Relationship Id="rId159" Type="http://schemas.openxmlformats.org/officeDocument/2006/relationships/printerSettings" Target="../printerSettings/printerSettings5.bin"/><Relationship Id="rId107" Type="http://schemas.openxmlformats.org/officeDocument/2006/relationships/hyperlink" Target="https://2e.aonprd.com/Feats.aspx?ID=2149" TargetMode="External"/><Relationship Id="rId11" Type="http://schemas.openxmlformats.org/officeDocument/2006/relationships/hyperlink" Target="https://2e.aonprd.com/Feats.aspx?ID=17" TargetMode="External"/><Relationship Id="rId32" Type="http://schemas.openxmlformats.org/officeDocument/2006/relationships/hyperlink" Target="https://2e.aonprd.com/Rackets.aspx" TargetMode="External"/><Relationship Id="rId53" Type="http://schemas.openxmlformats.org/officeDocument/2006/relationships/hyperlink" Target="https://www.myth-weavers.com/sheet.html" TargetMode="External"/><Relationship Id="rId74" Type="http://schemas.openxmlformats.org/officeDocument/2006/relationships/hyperlink" Target="https://2e.aonprd.com/Spells.aspx?ID=345" TargetMode="External"/><Relationship Id="rId128" Type="http://schemas.openxmlformats.org/officeDocument/2006/relationships/hyperlink" Target="https://2e.aonprd.com/Skills.aspx?ID=1" TargetMode="External"/><Relationship Id="rId149" Type="http://schemas.openxmlformats.org/officeDocument/2006/relationships/hyperlink" Target="https://2e.aonprd.com/Skills.aspx?ID=3" TargetMode="External"/><Relationship Id="rId5" Type="http://schemas.openxmlformats.org/officeDocument/2006/relationships/hyperlink" Target="https://2e.aonprd.com/Feats.aspx?ID=818" TargetMode="External"/><Relationship Id="rId95" Type="http://schemas.openxmlformats.org/officeDocument/2006/relationships/hyperlink" Target="https://2e.aonprd.com/Skills.aspx?ID=4" TargetMode="External"/><Relationship Id="rId22" Type="http://schemas.openxmlformats.org/officeDocument/2006/relationships/hyperlink" Target="https://2e.aonprd.com/Feats.aspx?ID=839" TargetMode="External"/><Relationship Id="rId43" Type="http://schemas.openxmlformats.org/officeDocument/2006/relationships/hyperlink" Target="https://2e.aonprd.com/Backgrounds.aspx?ID=24" TargetMode="External"/><Relationship Id="rId64" Type="http://schemas.openxmlformats.org/officeDocument/2006/relationships/hyperlink" Target="https://2e.aonprd.com/Feats.aspx?ID=318" TargetMode="External"/><Relationship Id="rId118" Type="http://schemas.openxmlformats.org/officeDocument/2006/relationships/hyperlink" Target="https://2e.aonprd.com/Feats.aspx?ID=750" TargetMode="External"/><Relationship Id="rId139" Type="http://schemas.openxmlformats.org/officeDocument/2006/relationships/hyperlink" Target="https://2e.aonprd.com/Feats.aspx?ID=1605" TargetMode="External"/><Relationship Id="rId80" Type="http://schemas.openxmlformats.org/officeDocument/2006/relationships/hyperlink" Target="https://2e.aonprd.com/Feats.aspx?ID=827" TargetMode="External"/><Relationship Id="rId85" Type="http://schemas.openxmlformats.org/officeDocument/2006/relationships/hyperlink" Target="https://2e.aonprd.com/Spells.aspx?ID=381" TargetMode="External"/><Relationship Id="rId150" Type="http://schemas.openxmlformats.org/officeDocument/2006/relationships/hyperlink" Target="https://2e.aonprd.com/Feats.aspx?ID=19" TargetMode="External"/><Relationship Id="rId155" Type="http://schemas.openxmlformats.org/officeDocument/2006/relationships/hyperlink" Target="https://2e.aonprd.com/Feats.aspx?ID=783" TargetMode="External"/><Relationship Id="rId12" Type="http://schemas.openxmlformats.org/officeDocument/2006/relationships/hyperlink" Target="https://2e.aonprd.com/Feats.aspx?ID=38" TargetMode="External"/><Relationship Id="rId17" Type="http://schemas.openxmlformats.org/officeDocument/2006/relationships/hyperlink" Target="https://2e.aonprd.com/Ancestries.aspx?ID=2" TargetMode="External"/><Relationship Id="rId33" Type="http://schemas.openxmlformats.org/officeDocument/2006/relationships/hyperlink" Target="https://2e.aonprd.com/DruidicOrders.aspx?ID=1" TargetMode="External"/><Relationship Id="rId38" Type="http://schemas.openxmlformats.org/officeDocument/2006/relationships/hyperlink" Target="https://2e.aonprd.com/Doctrines.aspx?ID=" TargetMode="External"/><Relationship Id="rId59" Type="http://schemas.openxmlformats.org/officeDocument/2006/relationships/hyperlink" Target="https://2e.aonprd.com/Feats.aspx?ID=786" TargetMode="External"/><Relationship Id="rId103" Type="http://schemas.openxmlformats.org/officeDocument/2006/relationships/hyperlink" Target="https://2e.aonprd.com/Feats.aspx?ID=825" TargetMode="External"/><Relationship Id="rId108" Type="http://schemas.openxmlformats.org/officeDocument/2006/relationships/hyperlink" Target="https://2e.aonprd.com/Feats.aspx?ID=41" TargetMode="External"/><Relationship Id="rId124" Type="http://schemas.openxmlformats.org/officeDocument/2006/relationships/hyperlink" Target="https://2e.aonprd.com/Feats.aspx?ID=772" TargetMode="External"/><Relationship Id="rId129" Type="http://schemas.openxmlformats.org/officeDocument/2006/relationships/hyperlink" Target="https://2e.aonprd.com/Feats.aspx?ID=811" TargetMode="External"/><Relationship Id="rId54" Type="http://schemas.openxmlformats.org/officeDocument/2006/relationships/hyperlink" Target="https://2e.aonprd.com/Heritages.aspx?ID=29" TargetMode="External"/><Relationship Id="rId70" Type="http://schemas.openxmlformats.org/officeDocument/2006/relationships/hyperlink" Target="https://www.myth-weavers.com/sheet.html" TargetMode="External"/><Relationship Id="rId75" Type="http://schemas.openxmlformats.org/officeDocument/2006/relationships/hyperlink" Target="https://2e.aonprd.com/Feats.aspx?ID=179" TargetMode="External"/><Relationship Id="rId91" Type="http://schemas.openxmlformats.org/officeDocument/2006/relationships/hyperlink" Target="https://2e.aonprd.com/Heritages.aspx?ID=35" TargetMode="External"/><Relationship Id="rId96" Type="http://schemas.openxmlformats.org/officeDocument/2006/relationships/hyperlink" Target="https://2e.aonprd.com/Feats.aspx?ID=784" TargetMode="External"/><Relationship Id="rId140" Type="http://schemas.openxmlformats.org/officeDocument/2006/relationships/hyperlink" Target="https://2e.aonprd.com/Feats.aspx?ID=820" TargetMode="External"/><Relationship Id="rId145" Type="http://schemas.openxmlformats.org/officeDocument/2006/relationships/hyperlink" Target="https://2e.aonprd.com/Skills.aspx?ID=6" TargetMode="External"/><Relationship Id="rId1" Type="http://schemas.openxmlformats.org/officeDocument/2006/relationships/hyperlink" Target="https://2e.aonprd.com/Feats.aspx?ID=847" TargetMode="External"/><Relationship Id="rId6" Type="http://schemas.openxmlformats.org/officeDocument/2006/relationships/hyperlink" Target="https://2e.aonprd.com/Backgrounds.aspx?ID=42" TargetMode="External"/><Relationship Id="rId23" Type="http://schemas.openxmlformats.org/officeDocument/2006/relationships/hyperlink" Target="https://2e.aonprd.com/Feats.aspx?ID=839" TargetMode="External"/><Relationship Id="rId28" Type="http://schemas.openxmlformats.org/officeDocument/2006/relationships/hyperlink" Target="https://2e.aonprd.com/Actions.aspx?ID=48" TargetMode="External"/><Relationship Id="rId49" Type="http://schemas.openxmlformats.org/officeDocument/2006/relationships/hyperlink" Target="https://www.myth-weavers.com/sheet.html" TargetMode="External"/><Relationship Id="rId114" Type="http://schemas.openxmlformats.org/officeDocument/2006/relationships/hyperlink" Target="https://2e.aonprd.com/Feats.aspx?ID=848" TargetMode="External"/><Relationship Id="rId119" Type="http://schemas.openxmlformats.org/officeDocument/2006/relationships/hyperlink" Target="https://2e.aonprd.com/Feats.aspx?ID=322" TargetMode="External"/><Relationship Id="rId44" Type="http://schemas.openxmlformats.org/officeDocument/2006/relationships/hyperlink" Target="https://2e.aonprd.com/Heritages.aspx?ID=18" TargetMode="External"/><Relationship Id="rId60" Type="http://schemas.openxmlformats.org/officeDocument/2006/relationships/hyperlink" Target="https://2e.aonprd.com/Feats.aspx?ID=319" TargetMode="External"/><Relationship Id="rId65" Type="http://schemas.openxmlformats.org/officeDocument/2006/relationships/hyperlink" Target="https://2e.aonprd.com/Feats.aspx?ID=834" TargetMode="External"/><Relationship Id="rId81" Type="http://schemas.openxmlformats.org/officeDocument/2006/relationships/hyperlink" Target="https://2e.aonprd.com/SpellLists.aspx?Tradition=3" TargetMode="External"/><Relationship Id="rId86" Type="http://schemas.openxmlformats.org/officeDocument/2006/relationships/hyperlink" Target="https://2e.aonprd.com/Muses.aspx?ID=1" TargetMode="External"/><Relationship Id="rId130" Type="http://schemas.openxmlformats.org/officeDocument/2006/relationships/hyperlink" Target="https://2e.aonprd.com/Skills.aspx?ID=3" TargetMode="External"/><Relationship Id="rId135" Type="http://schemas.openxmlformats.org/officeDocument/2006/relationships/hyperlink" Target="https://2e.aonprd.com/Feats.aspx?ID=142" TargetMode="External"/><Relationship Id="rId151" Type="http://schemas.openxmlformats.org/officeDocument/2006/relationships/hyperlink" Target="https://2e.aonprd.com/Feats.aspx?ID=820" TargetMode="External"/><Relationship Id="rId156" Type="http://schemas.openxmlformats.org/officeDocument/2006/relationships/hyperlink" Target="https://2e.aonprd.com/Feats.aspx?ID=1002" TargetMode="External"/><Relationship Id="rId13" Type="http://schemas.openxmlformats.org/officeDocument/2006/relationships/hyperlink" Target="https://2e.aonprd.com/Feats.aspx?ID=13" TargetMode="External"/><Relationship Id="rId18" Type="http://schemas.openxmlformats.org/officeDocument/2006/relationships/hyperlink" Target="https://2e.aonprd.com/Ancestries.aspx?ID=6" TargetMode="External"/><Relationship Id="rId39" Type="http://schemas.openxmlformats.org/officeDocument/2006/relationships/hyperlink" Target="https://2e.aonprd.com/ArcaneThesis.aspx" TargetMode="External"/><Relationship Id="rId109" Type="http://schemas.openxmlformats.org/officeDocument/2006/relationships/hyperlink" Target="https://2e.aonprd.com/ArcaneThesis.aspx" TargetMode="External"/><Relationship Id="rId34" Type="http://schemas.openxmlformats.org/officeDocument/2006/relationships/hyperlink" Target="https://2e.aonprd.com/Instincts.aspx?ID=5" TargetMode="External"/><Relationship Id="rId50" Type="http://schemas.openxmlformats.org/officeDocument/2006/relationships/hyperlink" Target="https://www.myth-weavers.com/sheet.html" TargetMode="External"/><Relationship Id="rId55" Type="http://schemas.openxmlformats.org/officeDocument/2006/relationships/hyperlink" Target="https://2e.aonprd.com/Feats.aspx?ID=359" TargetMode="External"/><Relationship Id="rId76" Type="http://schemas.openxmlformats.org/officeDocument/2006/relationships/hyperlink" Target="https://2e.aonprd.com/Feats.aspx?ID=186" TargetMode="External"/><Relationship Id="rId97" Type="http://schemas.openxmlformats.org/officeDocument/2006/relationships/hyperlink" Target="https://2e.aonprd.com/Skills.aspx?ID=12" TargetMode="External"/><Relationship Id="rId104" Type="http://schemas.openxmlformats.org/officeDocument/2006/relationships/hyperlink" Target="https://2e.aonprd.com/Ancestries.aspx?ID=4" TargetMode="External"/><Relationship Id="rId120" Type="http://schemas.openxmlformats.org/officeDocument/2006/relationships/hyperlink" Target="https://2e.aonprd.com/Feats.aspx?ID=640" TargetMode="External"/><Relationship Id="rId125" Type="http://schemas.openxmlformats.org/officeDocument/2006/relationships/hyperlink" Target="https://2e.aonprd.com/Feats.aspx?ID=2122" TargetMode="External"/><Relationship Id="rId141" Type="http://schemas.openxmlformats.org/officeDocument/2006/relationships/hyperlink" Target="https://2e.aonprd.com/Skills.aspx?ID=12" TargetMode="External"/><Relationship Id="rId146" Type="http://schemas.openxmlformats.org/officeDocument/2006/relationships/hyperlink" Target="https://2e.aonprd.com/Feats.aspx?ID=12" TargetMode="External"/><Relationship Id="rId7" Type="http://schemas.openxmlformats.org/officeDocument/2006/relationships/hyperlink" Target="https://2e.aonprd.com/Backgrounds.aspx?ID=50" TargetMode="External"/><Relationship Id="rId71" Type="http://schemas.openxmlformats.org/officeDocument/2006/relationships/hyperlink" Target="https://2e.aonprd.com/Backgrounds.aspx?ID=5" TargetMode="External"/><Relationship Id="rId92" Type="http://schemas.openxmlformats.org/officeDocument/2006/relationships/hyperlink" Target="https://2e.aonprd.com/Feats.aspx?ID=836" TargetMode="External"/><Relationship Id="rId2" Type="http://schemas.openxmlformats.org/officeDocument/2006/relationships/hyperlink" Target="https://2e.aonprd.com/Feats.aspx?ID=811" TargetMode="External"/><Relationship Id="rId29" Type="http://schemas.openxmlformats.org/officeDocument/2006/relationships/hyperlink" Target="https://2e.aonprd.com/Actions.aspx?ID=45" TargetMode="External"/><Relationship Id="rId24" Type="http://schemas.openxmlformats.org/officeDocument/2006/relationships/hyperlink" Target="https://2e.aonprd.com/DruidicOrders.aspx?ID=1" TargetMode="External"/><Relationship Id="rId40" Type="http://schemas.openxmlformats.org/officeDocument/2006/relationships/hyperlink" Target="https://2e.aonprd.com/Feats.aspx?ID=134" TargetMode="External"/><Relationship Id="rId45" Type="http://schemas.openxmlformats.org/officeDocument/2006/relationships/hyperlink" Target="https://2e.aonprd.com/Feats.aspx?ID=2" TargetMode="External"/><Relationship Id="rId66" Type="http://schemas.openxmlformats.org/officeDocument/2006/relationships/hyperlink" Target="https://2e.aonprd.com/Feats.aspx?ID=604" TargetMode="External"/><Relationship Id="rId87" Type="http://schemas.openxmlformats.org/officeDocument/2006/relationships/hyperlink" Target="https://2e.aonprd.com/Skills.aspx?ID=6" TargetMode="External"/><Relationship Id="rId110" Type="http://schemas.openxmlformats.org/officeDocument/2006/relationships/hyperlink" Target="https://2e.aonprd.com/Rackets.aspx?ID=3" TargetMode="External"/><Relationship Id="rId115" Type="http://schemas.openxmlformats.org/officeDocument/2006/relationships/hyperlink" Target="https://2e.aonprd.com/Feats.aspx?ID=765" TargetMode="External"/><Relationship Id="rId131" Type="http://schemas.openxmlformats.org/officeDocument/2006/relationships/hyperlink" Target="https://2e.aonprd.com/Feats.aspx?ID=858" TargetMode="External"/><Relationship Id="rId136" Type="http://schemas.openxmlformats.org/officeDocument/2006/relationships/hyperlink" Target="https://2e.aonprd.com/Skills.aspx?ID=15" TargetMode="External"/><Relationship Id="rId157" Type="http://schemas.openxmlformats.org/officeDocument/2006/relationships/hyperlink" Target="https://2e.aonprd.com/Skills.aspx?ID=7" TargetMode="External"/><Relationship Id="rId61" Type="http://schemas.openxmlformats.org/officeDocument/2006/relationships/hyperlink" Target="https://2e.aonprd.com/Feats.aspx?ID=2970" TargetMode="External"/><Relationship Id="rId82" Type="http://schemas.openxmlformats.org/officeDocument/2006/relationships/hyperlink" Target="https://2e.aonprd.com/SpellLists.aspx?Tradition=1" TargetMode="External"/><Relationship Id="rId152" Type="http://schemas.openxmlformats.org/officeDocument/2006/relationships/hyperlink" Target="https://2e.aonprd.com/Skills.aspx?ID=14" TargetMode="External"/><Relationship Id="rId19" Type="http://schemas.openxmlformats.org/officeDocument/2006/relationships/hyperlink" Target="https://2e.aonprd.com/Ancestries.aspx?ID=1" TargetMode="External"/><Relationship Id="rId14" Type="http://schemas.openxmlformats.org/officeDocument/2006/relationships/hyperlink" Target="https://2e.aonprd.com/Ancestries.aspx?ID=4" TargetMode="External"/><Relationship Id="rId30" Type="http://schemas.openxmlformats.org/officeDocument/2006/relationships/hyperlink" Target="https://2e.aonprd.com/Feats.aspx?ID=311" TargetMode="External"/><Relationship Id="rId35" Type="http://schemas.openxmlformats.org/officeDocument/2006/relationships/hyperlink" Target="https://2e.aonprd.com/ArcaneSchools.aspx?ID=4" TargetMode="External"/><Relationship Id="rId56" Type="http://schemas.openxmlformats.org/officeDocument/2006/relationships/hyperlink" Target="https://2e.aonprd.com/Actions.aspx?ID=342" TargetMode="External"/><Relationship Id="rId77" Type="http://schemas.openxmlformats.org/officeDocument/2006/relationships/hyperlink" Target="https://2e.aonprd.com/Feats.aspx?ID=765" TargetMode="External"/><Relationship Id="rId100" Type="http://schemas.openxmlformats.org/officeDocument/2006/relationships/hyperlink" Target="https://2e.aonprd.com/Feats.aspx?ID=774" TargetMode="External"/><Relationship Id="rId105" Type="http://schemas.openxmlformats.org/officeDocument/2006/relationships/hyperlink" Target="https://2e.aonprd.com/Heritages.aspx?ID=18" TargetMode="External"/><Relationship Id="rId126" Type="http://schemas.openxmlformats.org/officeDocument/2006/relationships/hyperlink" Target="https://2e.aonprd.com/Feats.aspx?ID=756" TargetMode="External"/><Relationship Id="rId147" Type="http://schemas.openxmlformats.org/officeDocument/2006/relationships/hyperlink" Target="https://2e.aonprd.com/Feats.aspx?ID=8" TargetMode="External"/><Relationship Id="rId8" Type="http://schemas.openxmlformats.org/officeDocument/2006/relationships/hyperlink" Target="https://2e.aonprd.com/Backgrounds.aspx?ID=44" TargetMode="External"/><Relationship Id="rId51" Type="http://schemas.openxmlformats.org/officeDocument/2006/relationships/hyperlink" Target="https://www.myth-weavers.com/sheet.html" TargetMode="External"/><Relationship Id="rId72" Type="http://schemas.openxmlformats.org/officeDocument/2006/relationships/hyperlink" Target="https://2e.aonprd.com/Feats.aspx?ID=844" TargetMode="External"/><Relationship Id="rId93" Type="http://schemas.openxmlformats.org/officeDocument/2006/relationships/hyperlink" Target="https://2e.aonprd.com/Feats.aspx?ID=2143" TargetMode="External"/><Relationship Id="rId98" Type="http://schemas.openxmlformats.org/officeDocument/2006/relationships/hyperlink" Target="https://2e.aonprd.com/Feats.aspx?ID=764" TargetMode="External"/><Relationship Id="rId121" Type="http://schemas.openxmlformats.org/officeDocument/2006/relationships/hyperlink" Target="https://2e.aonprd.com/Feats.aspx?ID=268" TargetMode="External"/><Relationship Id="rId142" Type="http://schemas.openxmlformats.org/officeDocument/2006/relationships/hyperlink" Target="https://2e.aonprd.com/Feats.aspx?ID=42" TargetMode="External"/><Relationship Id="rId3" Type="http://schemas.openxmlformats.org/officeDocument/2006/relationships/hyperlink" Target="https://2e.aonprd.com/Feats.aspx?ID=796" TargetMode="External"/><Relationship Id="rId25" Type="http://schemas.openxmlformats.org/officeDocument/2006/relationships/hyperlink" Target="https://2e.aonprd.com/Actions.aspx?ID=13" TargetMode="External"/><Relationship Id="rId46" Type="http://schemas.openxmlformats.org/officeDocument/2006/relationships/hyperlink" Target="https://2e.aonprd.com/Familiars.aspx" TargetMode="External"/><Relationship Id="rId67" Type="http://schemas.openxmlformats.org/officeDocument/2006/relationships/hyperlink" Target="https://2e.aonprd.com/Feats.aspx?ID=369" TargetMode="External"/><Relationship Id="rId116" Type="http://schemas.openxmlformats.org/officeDocument/2006/relationships/hyperlink" Target="https://www.myth-weavers.com/sheet.html" TargetMode="External"/><Relationship Id="rId137" Type="http://schemas.openxmlformats.org/officeDocument/2006/relationships/hyperlink" Target="https://2e.aonprd.com/Feats.aspx?ID=831" TargetMode="External"/><Relationship Id="rId158" Type="http://schemas.openxmlformats.org/officeDocument/2006/relationships/hyperlink" Target="https://2e.aonprd.com/Feats.aspx?ID=2110" TargetMode="External"/><Relationship Id="rId20" Type="http://schemas.openxmlformats.org/officeDocument/2006/relationships/hyperlink" Target="https://2e.aonprd.com/Heritages.aspx?ID=7" TargetMode="External"/><Relationship Id="rId41" Type="http://schemas.openxmlformats.org/officeDocument/2006/relationships/hyperlink" Target="https://2e.aonprd.com/Feats.aspx?ID=765" TargetMode="External"/><Relationship Id="rId62" Type="http://schemas.openxmlformats.org/officeDocument/2006/relationships/hyperlink" Target="https://2e.aonprd.com/Feats.aspx?ID=760" TargetMode="External"/><Relationship Id="rId83" Type="http://schemas.openxmlformats.org/officeDocument/2006/relationships/hyperlink" Target="https://2e.aonprd.com/SpellLists.aspx?Tradition=2" TargetMode="External"/><Relationship Id="rId88" Type="http://schemas.openxmlformats.org/officeDocument/2006/relationships/hyperlink" Target="https://2e.aonprd.com/Feats.aspx?ID=2114" TargetMode="External"/><Relationship Id="rId111" Type="http://schemas.openxmlformats.org/officeDocument/2006/relationships/hyperlink" Target="https://2e.aonprd.com/Rackets.aspx?ID=3" TargetMode="External"/><Relationship Id="rId132" Type="http://schemas.openxmlformats.org/officeDocument/2006/relationships/hyperlink" Target="https://2e.aonprd.com/Feats.aspx?ID=783" TargetMode="External"/><Relationship Id="rId153" Type="http://schemas.openxmlformats.org/officeDocument/2006/relationships/hyperlink" Target="https://2e.aonprd.com/Feats.aspx?ID=87" TargetMode="External"/><Relationship Id="rId15" Type="http://schemas.openxmlformats.org/officeDocument/2006/relationships/hyperlink" Target="https://2e.aonprd.com/Ancestries.aspx?ID=2" TargetMode="External"/><Relationship Id="rId36" Type="http://schemas.openxmlformats.org/officeDocument/2006/relationships/hyperlink" Target="https://2e.aonprd.com/ArcaneThesis.aspx?ID=1" TargetMode="External"/><Relationship Id="rId57" Type="http://schemas.openxmlformats.org/officeDocument/2006/relationships/hyperlink" Target="https://2e.aonprd.com/Feats.aspx?ID=360" TargetMode="External"/><Relationship Id="rId106" Type="http://schemas.openxmlformats.org/officeDocument/2006/relationships/hyperlink" Target="https://2e.aonprd.com/Backgrounds.aspx?ID=168" TargetMode="External"/><Relationship Id="rId127" Type="http://schemas.openxmlformats.org/officeDocument/2006/relationships/hyperlink" Target="https://2e.aonprd.com/Feats.aspx?ID=557" TargetMode="External"/><Relationship Id="rId10" Type="http://schemas.openxmlformats.org/officeDocument/2006/relationships/hyperlink" Target="https://2e.aonprd.com/Backgrounds.aspx?ID=35" TargetMode="External"/><Relationship Id="rId31" Type="http://schemas.openxmlformats.org/officeDocument/2006/relationships/hyperlink" Target="https://2e.aonprd.com/Feats.aspx?ID=265" TargetMode="External"/><Relationship Id="rId52" Type="http://schemas.openxmlformats.org/officeDocument/2006/relationships/hyperlink" Target="https://www.myth-weavers.com/sheet.html" TargetMode="External"/><Relationship Id="rId73" Type="http://schemas.openxmlformats.org/officeDocument/2006/relationships/hyperlink" Target="https://2e.aonprd.com/Feats.aspx?ID=86" TargetMode="External"/><Relationship Id="rId78" Type="http://schemas.openxmlformats.org/officeDocument/2006/relationships/hyperlink" Target="https://2e.aonprd.com/Feats.aspx?ID=555" TargetMode="External"/><Relationship Id="rId94" Type="http://schemas.openxmlformats.org/officeDocument/2006/relationships/hyperlink" Target="https://2e.aonprd.com/Skills.aspx?ID=10" TargetMode="External"/><Relationship Id="rId99" Type="http://schemas.openxmlformats.org/officeDocument/2006/relationships/hyperlink" Target="https://2e.aonprd.com/Skills.aspx?ID=3" TargetMode="External"/><Relationship Id="rId101" Type="http://schemas.openxmlformats.org/officeDocument/2006/relationships/hyperlink" Target="https://2e.aonprd.com/Feats.aspx?ID=765" TargetMode="External"/><Relationship Id="rId122" Type="http://schemas.openxmlformats.org/officeDocument/2006/relationships/hyperlink" Target="https://2e.aonprd.com/Feats.aspx?ID=771" TargetMode="External"/><Relationship Id="rId143" Type="http://schemas.openxmlformats.org/officeDocument/2006/relationships/hyperlink" Target="https://2e.aonprd.com/Feats.aspx?ID=981" TargetMode="External"/><Relationship Id="rId148" Type="http://schemas.openxmlformats.org/officeDocument/2006/relationships/hyperlink" Target="https://2e.aonprd.com/Skills.aspx?ID=1" TargetMode="External"/><Relationship Id="rId4" Type="http://schemas.openxmlformats.org/officeDocument/2006/relationships/hyperlink" Target="https://2e.aonprd.com/Feats.aspx?ID=796" TargetMode="External"/><Relationship Id="rId9" Type="http://schemas.openxmlformats.org/officeDocument/2006/relationships/hyperlink" Target="https://2e.aonprd.com/Backgrounds.aspx?ID=49" TargetMode="External"/><Relationship Id="rId26" Type="http://schemas.openxmlformats.org/officeDocument/2006/relationships/hyperlink" Target="https://2e.aonprd.com/Actions.aspx?ID=3" TargetMode="External"/><Relationship Id="rId47" Type="http://schemas.openxmlformats.org/officeDocument/2006/relationships/hyperlink" Target="https://2e.aonprd.com/Heritages.aspx?ID=10" TargetMode="External"/><Relationship Id="rId68" Type="http://schemas.openxmlformats.org/officeDocument/2006/relationships/hyperlink" Target="https://2e.aonprd.com/Feats.aspx?ID=790" TargetMode="External"/><Relationship Id="rId89" Type="http://schemas.openxmlformats.org/officeDocument/2006/relationships/hyperlink" Target="https://2e.aonprd.com/Feats.aspx?ID=2143" TargetMode="External"/><Relationship Id="rId112" Type="http://schemas.openxmlformats.org/officeDocument/2006/relationships/hyperlink" Target="https://2e.aonprd.com/Skills.aspx?ID=5" TargetMode="External"/><Relationship Id="rId133" Type="http://schemas.openxmlformats.org/officeDocument/2006/relationships/hyperlink" Target="https://2e.aonprd.com/Feats.aspx?ID=784" TargetMode="External"/><Relationship Id="rId154" Type="http://schemas.openxmlformats.org/officeDocument/2006/relationships/hyperlink" Target="https://2e.aonprd.com/Skills.aspx?ID=1" TargetMode="External"/><Relationship Id="rId16" Type="http://schemas.openxmlformats.org/officeDocument/2006/relationships/hyperlink" Target="https://2e.aonprd.com/Ancestries.aspx?ID=2" TargetMode="External"/><Relationship Id="rId37" Type="http://schemas.openxmlformats.org/officeDocument/2006/relationships/hyperlink" Target="https://2e.aonprd.com/Doctrines.aspx?ID=2" TargetMode="External"/><Relationship Id="rId58" Type="http://schemas.openxmlformats.org/officeDocument/2006/relationships/hyperlink" Target="https://2e.aonprd.com/Feats.aspx?ID=15" TargetMode="External"/><Relationship Id="rId79" Type="http://schemas.openxmlformats.org/officeDocument/2006/relationships/hyperlink" Target="https://2e.aonprd.com/Skills.aspx?ID=5" TargetMode="External"/><Relationship Id="rId102" Type="http://schemas.openxmlformats.org/officeDocument/2006/relationships/hyperlink" Target="https://2e.aonprd.com/Feats.aspx?ID=138" TargetMode="External"/><Relationship Id="rId123" Type="http://schemas.openxmlformats.org/officeDocument/2006/relationships/hyperlink" Target="https://2e.aonprd.com/Feats.aspx?ID=190" TargetMode="External"/><Relationship Id="rId144" Type="http://schemas.openxmlformats.org/officeDocument/2006/relationships/hyperlink" Target="https://2e.aonprd.com/Skills.aspx?ID=9" TargetMode="External"/><Relationship Id="rId90" Type="http://schemas.openxmlformats.org/officeDocument/2006/relationships/hyperlink" Target="https://2e.aonprd.com/Skills.aspx?ID=9" TargetMode="External"/><Relationship Id="rId27" Type="http://schemas.openxmlformats.org/officeDocument/2006/relationships/hyperlink" Target="https://2e.aonprd.com/Actions.aspx?ID=8" TargetMode="External"/><Relationship Id="rId48" Type="http://schemas.openxmlformats.org/officeDocument/2006/relationships/hyperlink" Target="https://www.myth-weavers.com/sheet.html" TargetMode="External"/><Relationship Id="rId69" Type="http://schemas.openxmlformats.org/officeDocument/2006/relationships/hyperlink" Target="https://2e.aonprd.com/Ancestries.aspx?ID=6" TargetMode="External"/><Relationship Id="rId113" Type="http://schemas.openxmlformats.org/officeDocument/2006/relationships/hyperlink" Target="https://2e.aonprd.com/Feats.aspx?ID=498" TargetMode="External"/><Relationship Id="rId134" Type="http://schemas.openxmlformats.org/officeDocument/2006/relationships/hyperlink" Target="https://2e.aonprd.com/Skills.aspx?ID=1"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2e.aonprd.com/Spells.aspx?ID=148" TargetMode="External"/><Relationship Id="rId21" Type="http://schemas.openxmlformats.org/officeDocument/2006/relationships/hyperlink" Target="https://2e.aonprd.com/Spells.aspx?ID=569" TargetMode="External"/><Relationship Id="rId42" Type="http://schemas.openxmlformats.org/officeDocument/2006/relationships/hyperlink" Target="https://2e.aonprd.com/Spells.aspx?ID=952" TargetMode="External"/><Relationship Id="rId47" Type="http://schemas.openxmlformats.org/officeDocument/2006/relationships/hyperlink" Target="https://2e.aonprd.com/Spells.aspx?ID=990" TargetMode="External"/><Relationship Id="rId63" Type="http://schemas.openxmlformats.org/officeDocument/2006/relationships/hyperlink" Target="https://2e.aonprd.com/SpellLists.aspx?Tradition=4" TargetMode="External"/><Relationship Id="rId68" Type="http://schemas.openxmlformats.org/officeDocument/2006/relationships/hyperlink" Target="https://2e.aonprd.com/Spells.aspx?ID=306" TargetMode="External"/><Relationship Id="rId84" Type="http://schemas.openxmlformats.org/officeDocument/2006/relationships/hyperlink" Target="https://2e.aonprd.com/Spells.aspx?ID=291" TargetMode="External"/><Relationship Id="rId89" Type="http://schemas.openxmlformats.org/officeDocument/2006/relationships/hyperlink" Target="https://2e.aonprd.com/Spells.aspx?ID=50" TargetMode="External"/><Relationship Id="rId16" Type="http://schemas.openxmlformats.org/officeDocument/2006/relationships/hyperlink" Target="https://2e.aonprd.com/Spells.aspx?ID=34" TargetMode="External"/><Relationship Id="rId11" Type="http://schemas.openxmlformats.org/officeDocument/2006/relationships/hyperlink" Target="https://2e.aonprd.com/Spells.aspx?ID=229" TargetMode="External"/><Relationship Id="rId32" Type="http://schemas.openxmlformats.org/officeDocument/2006/relationships/hyperlink" Target="https://2e.aonprd.com/Spells.aspx?ID=280" TargetMode="External"/><Relationship Id="rId37" Type="http://schemas.openxmlformats.org/officeDocument/2006/relationships/hyperlink" Target="https://2e.aonprd.com/Spells.aspx?ID=148" TargetMode="External"/><Relationship Id="rId53" Type="http://schemas.openxmlformats.org/officeDocument/2006/relationships/hyperlink" Target="https://2e.aonprd.com/Spells.aspx?ID=171" TargetMode="External"/><Relationship Id="rId58" Type="http://schemas.openxmlformats.org/officeDocument/2006/relationships/hyperlink" Target="https://2e.aonprd.com/Spells.aspx?ID=182" TargetMode="External"/><Relationship Id="rId74" Type="http://schemas.openxmlformats.org/officeDocument/2006/relationships/hyperlink" Target="https://2e.aonprd.com/Spells.aspx?ID=197" TargetMode="External"/><Relationship Id="rId79" Type="http://schemas.openxmlformats.org/officeDocument/2006/relationships/hyperlink" Target="https://2e.aonprd.com/Spells.aspx?ID=213" TargetMode="External"/><Relationship Id="rId5" Type="http://schemas.openxmlformats.org/officeDocument/2006/relationships/hyperlink" Target="https://www.myth-weavers.com/sheet.html" TargetMode="External"/><Relationship Id="rId90" Type="http://schemas.openxmlformats.org/officeDocument/2006/relationships/hyperlink" Target="https://2e.aonprd.com/Spells.aspx?ID=101" TargetMode="External"/><Relationship Id="rId22" Type="http://schemas.openxmlformats.org/officeDocument/2006/relationships/hyperlink" Target="https://2e.aonprd.com/Spells.aspx?ID=976" TargetMode="External"/><Relationship Id="rId27" Type="http://schemas.openxmlformats.org/officeDocument/2006/relationships/hyperlink" Target="https://2e.aonprd.com/Spells.aspx?ID=245" TargetMode="External"/><Relationship Id="rId43" Type="http://schemas.openxmlformats.org/officeDocument/2006/relationships/hyperlink" Target="https://2e.aonprd.com/Spells.aspx?ID=288" TargetMode="External"/><Relationship Id="rId48" Type="http://schemas.openxmlformats.org/officeDocument/2006/relationships/hyperlink" Target="https://2e.aonprd.com/Spells.aspx?ID=107" TargetMode="External"/><Relationship Id="rId64" Type="http://schemas.openxmlformats.org/officeDocument/2006/relationships/hyperlink" Target="https://2e.aonprd.com/SpellLists.aspx?Tradition=1" TargetMode="External"/><Relationship Id="rId69" Type="http://schemas.openxmlformats.org/officeDocument/2006/relationships/hyperlink" Target="https://2e.aonprd.com/Spells.aspx?ID=291" TargetMode="External"/><Relationship Id="rId8" Type="http://schemas.openxmlformats.org/officeDocument/2006/relationships/hyperlink" Target="https://2e.aonprd.com/Spells.aspx?ID=474" TargetMode="External"/><Relationship Id="rId51" Type="http://schemas.openxmlformats.org/officeDocument/2006/relationships/hyperlink" Target="https://2e.aonprd.com/Spells.aspx?ID=79" TargetMode="External"/><Relationship Id="rId72" Type="http://schemas.openxmlformats.org/officeDocument/2006/relationships/hyperlink" Target="https://2e.aonprd.com/Spells.aspx?ID=182" TargetMode="External"/><Relationship Id="rId80" Type="http://schemas.openxmlformats.org/officeDocument/2006/relationships/hyperlink" Target="https://2e.aonprd.com/Spells.aspx?ID=949" TargetMode="External"/><Relationship Id="rId85" Type="http://schemas.openxmlformats.org/officeDocument/2006/relationships/hyperlink" Target="https://2e.aonprd.com/Spells.aspx?ID=292" TargetMode="External"/><Relationship Id="rId93" Type="http://schemas.openxmlformats.org/officeDocument/2006/relationships/printerSettings" Target="../printerSettings/printerSettings6.bin"/><Relationship Id="rId3" Type="http://schemas.openxmlformats.org/officeDocument/2006/relationships/hyperlink" Target="https://www.myth-weavers.com/sheet.html" TargetMode="External"/><Relationship Id="rId12" Type="http://schemas.openxmlformats.org/officeDocument/2006/relationships/hyperlink" Target="https://2e.aonprd.com/Spells.aspx?ID=236" TargetMode="External"/><Relationship Id="rId17" Type="http://schemas.openxmlformats.org/officeDocument/2006/relationships/hyperlink" Target="https://2e.aonprd.com/Spells.aspx?ID=3" TargetMode="External"/><Relationship Id="rId25" Type="http://schemas.openxmlformats.org/officeDocument/2006/relationships/hyperlink" Target="https://2e.aonprd.com/Spells.aspx?ID=139" TargetMode="External"/><Relationship Id="rId33" Type="http://schemas.openxmlformats.org/officeDocument/2006/relationships/hyperlink" Target="https://2e.aonprd.com/Spells.aspx?ID=246" TargetMode="External"/><Relationship Id="rId38" Type="http://schemas.openxmlformats.org/officeDocument/2006/relationships/hyperlink" Target="https://2e.aonprd.com/Spells.aspx?ID=266" TargetMode="External"/><Relationship Id="rId46" Type="http://schemas.openxmlformats.org/officeDocument/2006/relationships/hyperlink" Target="https://2e.aonprd.com/Spells.aspx?ID=932" TargetMode="External"/><Relationship Id="rId59" Type="http://schemas.openxmlformats.org/officeDocument/2006/relationships/hyperlink" Target="https://2e.aonprd.com/Spells.aspx?ID=182" TargetMode="External"/><Relationship Id="rId67" Type="http://schemas.openxmlformats.org/officeDocument/2006/relationships/hyperlink" Target="https://2e.aonprd.com/SpellLists.aspx?Tradition=1" TargetMode="External"/><Relationship Id="rId20" Type="http://schemas.openxmlformats.org/officeDocument/2006/relationships/hyperlink" Target="https://2e.aonprd.com/Spells.aspx?ID=245" TargetMode="External"/><Relationship Id="rId41" Type="http://schemas.openxmlformats.org/officeDocument/2006/relationships/hyperlink" Target="https://2e.aonprd.com/Spells.aspx?ID=66" TargetMode="External"/><Relationship Id="rId54" Type="http://schemas.openxmlformats.org/officeDocument/2006/relationships/hyperlink" Target="https://2e.aonprd.com/Spells.aspx?ID=169" TargetMode="External"/><Relationship Id="rId62" Type="http://schemas.openxmlformats.org/officeDocument/2006/relationships/hyperlink" Target="https://www.myth-weavers.com/sheet.html" TargetMode="External"/><Relationship Id="rId70" Type="http://schemas.openxmlformats.org/officeDocument/2006/relationships/hyperlink" Target="https://2e.aonprd.com/Spells.aspx?ID=189" TargetMode="External"/><Relationship Id="rId75" Type="http://schemas.openxmlformats.org/officeDocument/2006/relationships/hyperlink" Target="https://2e.aonprd.com/Spells.aspx?ID=295" TargetMode="External"/><Relationship Id="rId83" Type="http://schemas.openxmlformats.org/officeDocument/2006/relationships/hyperlink" Target="https://2e.aonprd.com/Spells.aspx?ID=108" TargetMode="External"/><Relationship Id="rId88" Type="http://schemas.openxmlformats.org/officeDocument/2006/relationships/hyperlink" Target="https://2e.aonprd.com/Spells.aspx?ID=354" TargetMode="External"/><Relationship Id="rId91" Type="http://schemas.openxmlformats.org/officeDocument/2006/relationships/hyperlink" Target="https://2e.aonprd.com/Spells.aspx?ID=269" TargetMode="External"/><Relationship Id="rId1" Type="http://schemas.openxmlformats.org/officeDocument/2006/relationships/hyperlink" Target="https://www.myth-weavers.com/sheet.html" TargetMode="External"/><Relationship Id="rId6" Type="http://schemas.openxmlformats.org/officeDocument/2006/relationships/hyperlink" Target="https://www.myth-weavers.com/sheet.html" TargetMode="External"/><Relationship Id="rId15" Type="http://schemas.openxmlformats.org/officeDocument/2006/relationships/hyperlink" Target="https://2e.aonprd.com/Spells.aspx?ID=61" TargetMode="External"/><Relationship Id="rId23" Type="http://schemas.openxmlformats.org/officeDocument/2006/relationships/hyperlink" Target="https://2e.aonprd.com/Spells.aspx?ID=176" TargetMode="External"/><Relationship Id="rId28" Type="http://schemas.openxmlformats.org/officeDocument/2006/relationships/hyperlink" Target="https://2e.aonprd.com/Spells.aspx?ID=381" TargetMode="External"/><Relationship Id="rId36" Type="http://schemas.openxmlformats.org/officeDocument/2006/relationships/hyperlink" Target="https://2e.aonprd.com/Spells.aspx?ID=177" TargetMode="External"/><Relationship Id="rId49" Type="http://schemas.openxmlformats.org/officeDocument/2006/relationships/hyperlink" Target="https://2e.aonprd.com/Spells.aspx?ID=675" TargetMode="External"/><Relationship Id="rId57" Type="http://schemas.openxmlformats.org/officeDocument/2006/relationships/hyperlink" Target="https://2e.aonprd.com/Spells.aspx?ID=61" TargetMode="External"/><Relationship Id="rId10" Type="http://schemas.openxmlformats.org/officeDocument/2006/relationships/hyperlink" Target="https://2e.aonprd.com/Spells.aspx?ID=66" TargetMode="External"/><Relationship Id="rId31" Type="http://schemas.openxmlformats.org/officeDocument/2006/relationships/hyperlink" Target="https://2e.aonprd.com/Spells.aspx?ID=61" TargetMode="External"/><Relationship Id="rId44" Type="http://schemas.openxmlformats.org/officeDocument/2006/relationships/hyperlink" Target="https://2e.aonprd.com/Spells.aspx?ID=587" TargetMode="External"/><Relationship Id="rId52" Type="http://schemas.openxmlformats.org/officeDocument/2006/relationships/hyperlink" Target="https://2e.aonprd.com/Spells.aspx?ID=84" TargetMode="External"/><Relationship Id="rId60" Type="http://schemas.openxmlformats.org/officeDocument/2006/relationships/hyperlink" Target="https://2e.aonprd.com/Spells.aspx?ID=258" TargetMode="External"/><Relationship Id="rId65" Type="http://schemas.openxmlformats.org/officeDocument/2006/relationships/hyperlink" Target="https://2e.aonprd.com/SpellLists.aspx?Tradition=3" TargetMode="External"/><Relationship Id="rId73" Type="http://schemas.openxmlformats.org/officeDocument/2006/relationships/hyperlink" Target="https://2e.aonprd.com/Spells.aspx?ID=62" TargetMode="External"/><Relationship Id="rId78" Type="http://schemas.openxmlformats.org/officeDocument/2006/relationships/hyperlink" Target="https://2e.aonprd.com/Spells.aspx?ID=119" TargetMode="External"/><Relationship Id="rId81" Type="http://schemas.openxmlformats.org/officeDocument/2006/relationships/hyperlink" Target="https://2e.aonprd.com/Spells.aspx?ID=291" TargetMode="External"/><Relationship Id="rId86" Type="http://schemas.openxmlformats.org/officeDocument/2006/relationships/hyperlink" Target="https://2e.aonprd.com/Spells.aspx?ID=147" TargetMode="External"/><Relationship Id="rId4" Type="http://schemas.openxmlformats.org/officeDocument/2006/relationships/hyperlink" Target="https://www.myth-weavers.com/sheet.html" TargetMode="External"/><Relationship Id="rId9" Type="http://schemas.openxmlformats.org/officeDocument/2006/relationships/hyperlink" Target="https://2e.aonprd.com/Spells.aspx?ID=523" TargetMode="External"/><Relationship Id="rId13" Type="http://schemas.openxmlformats.org/officeDocument/2006/relationships/hyperlink" Target="https://2e.aonprd.com/Spells.aspx?ID=975" TargetMode="External"/><Relationship Id="rId18" Type="http://schemas.openxmlformats.org/officeDocument/2006/relationships/hyperlink" Target="https://2e.aonprd.com/Spells.aspx?ID=236" TargetMode="External"/><Relationship Id="rId39" Type="http://schemas.openxmlformats.org/officeDocument/2006/relationships/hyperlink" Target="https://2e.aonprd.com/Spells.aspx?ID=35" TargetMode="External"/><Relationship Id="rId34" Type="http://schemas.openxmlformats.org/officeDocument/2006/relationships/hyperlink" Target="https://2e.aonprd.com/Spells.aspx?ID=334" TargetMode="External"/><Relationship Id="rId50" Type="http://schemas.openxmlformats.org/officeDocument/2006/relationships/hyperlink" Target="https://2e.aonprd.com/Spells.aspx?ID=66" TargetMode="External"/><Relationship Id="rId55" Type="http://schemas.openxmlformats.org/officeDocument/2006/relationships/hyperlink" Target="https://2e.aonprd.com/Spells.aspx?ID=307" TargetMode="External"/><Relationship Id="rId76" Type="http://schemas.openxmlformats.org/officeDocument/2006/relationships/hyperlink" Target="https://2e.aonprd.com/Spells.aspx?ID=1030" TargetMode="External"/><Relationship Id="rId7" Type="http://schemas.openxmlformats.org/officeDocument/2006/relationships/hyperlink" Target="https://2e.aonprd.com/Spells.aspx?ID=426" TargetMode="External"/><Relationship Id="rId71" Type="http://schemas.openxmlformats.org/officeDocument/2006/relationships/hyperlink" Target="https://2e.aonprd.com/Spells.aspx?ID=345" TargetMode="External"/><Relationship Id="rId92" Type="http://schemas.openxmlformats.org/officeDocument/2006/relationships/hyperlink" Target="https://2e.aonprd.com/Spells.aspx?ID=26" TargetMode="External"/><Relationship Id="rId2" Type="http://schemas.openxmlformats.org/officeDocument/2006/relationships/hyperlink" Target="https://www.myth-weavers.com/sheet.html" TargetMode="External"/><Relationship Id="rId29" Type="http://schemas.openxmlformats.org/officeDocument/2006/relationships/hyperlink" Target="https://www.myth-weavers.com/sheet.html" TargetMode="External"/><Relationship Id="rId24" Type="http://schemas.openxmlformats.org/officeDocument/2006/relationships/hyperlink" Target="https://2e.aonprd.com/Spells.aspx?ID=180" TargetMode="External"/><Relationship Id="rId40" Type="http://schemas.openxmlformats.org/officeDocument/2006/relationships/hyperlink" Target="https://2e.aonprd.com/Spells.aspx?ID=280" TargetMode="External"/><Relationship Id="rId45" Type="http://schemas.openxmlformats.org/officeDocument/2006/relationships/hyperlink" Target="https://2e.aonprd.com/Spells.aspx?ID=573" TargetMode="External"/><Relationship Id="rId66" Type="http://schemas.openxmlformats.org/officeDocument/2006/relationships/hyperlink" Target="https://2e.aonprd.com/SpellLists.aspx?Tradition=2" TargetMode="External"/><Relationship Id="rId87" Type="http://schemas.openxmlformats.org/officeDocument/2006/relationships/hyperlink" Target="https://2e.aonprd.com/Spells.aspx?ID=108" TargetMode="External"/><Relationship Id="rId61" Type="http://schemas.openxmlformats.org/officeDocument/2006/relationships/hyperlink" Target="https://2e.aonprd.com/Spells.aspx?ID=30" TargetMode="External"/><Relationship Id="rId82" Type="http://schemas.openxmlformats.org/officeDocument/2006/relationships/hyperlink" Target="https://2e.aonprd.com/Spells.aspx?ID=675" TargetMode="External"/><Relationship Id="rId19" Type="http://schemas.openxmlformats.org/officeDocument/2006/relationships/hyperlink" Target="https://2e.aonprd.com/Spells.aspx?ID=97" TargetMode="External"/><Relationship Id="rId14" Type="http://schemas.openxmlformats.org/officeDocument/2006/relationships/hyperlink" Target="https://2e.aonprd.com/Spells.aspx?ID=330" TargetMode="External"/><Relationship Id="rId30" Type="http://schemas.openxmlformats.org/officeDocument/2006/relationships/hyperlink" Target="https://2e.aonprd.com/Spells.aspx?ID=390" TargetMode="External"/><Relationship Id="rId35" Type="http://schemas.openxmlformats.org/officeDocument/2006/relationships/hyperlink" Target="https://2e.aonprd.com/Spells.aspx?ID=142" TargetMode="External"/><Relationship Id="rId56" Type="http://schemas.openxmlformats.org/officeDocument/2006/relationships/hyperlink" Target="https://2e.aonprd.com/Spells.aspx?ID=280" TargetMode="External"/><Relationship Id="rId77" Type="http://schemas.openxmlformats.org/officeDocument/2006/relationships/hyperlink" Target="https://2e.aonprd.com/Spells.aspx?ID=119"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2e.aonprd.com/Traits.aspx?ID=54" TargetMode="External"/><Relationship Id="rId299" Type="http://schemas.openxmlformats.org/officeDocument/2006/relationships/hyperlink" Target="https://2e.aonprd.com/Traits.aspx?ID=200" TargetMode="External"/><Relationship Id="rId21" Type="http://schemas.openxmlformats.org/officeDocument/2006/relationships/hyperlink" Target="https://2e.aonprd.com/Equipment.aspx?ID=62" TargetMode="External"/><Relationship Id="rId63" Type="http://schemas.openxmlformats.org/officeDocument/2006/relationships/hyperlink" Target="https://2e.aonprd.com/Weapons.aspx?ID=3" TargetMode="External"/><Relationship Id="rId159" Type="http://schemas.openxmlformats.org/officeDocument/2006/relationships/hyperlink" Target="https://2e.aonprd.com/WeaponGroups.aspx?ID=13" TargetMode="External"/><Relationship Id="rId324" Type="http://schemas.openxmlformats.org/officeDocument/2006/relationships/hyperlink" Target="https://2e.aonprd.com/Traits.aspx?ID=200" TargetMode="External"/><Relationship Id="rId366" Type="http://schemas.openxmlformats.org/officeDocument/2006/relationships/hyperlink" Target="https://2e.aonprd.com/Equipment.aspx?ID=81" TargetMode="External"/><Relationship Id="rId170" Type="http://schemas.openxmlformats.org/officeDocument/2006/relationships/hyperlink" Target="https://2e.aonprd.com/Weapons.aspx?ID=6" TargetMode="External"/><Relationship Id="rId226" Type="http://schemas.openxmlformats.org/officeDocument/2006/relationships/hyperlink" Target="https://2e.aonprd.com/Equipment.aspx?ID=14" TargetMode="External"/><Relationship Id="rId268" Type="http://schemas.openxmlformats.org/officeDocument/2006/relationships/hyperlink" Target="https://2e.aonprd.com/Equipment.aspx?ID=7" TargetMode="External"/><Relationship Id="rId32" Type="http://schemas.openxmlformats.org/officeDocument/2006/relationships/hyperlink" Target="https://2e.aonprd.com/Equipment.aspx?ID=12" TargetMode="External"/><Relationship Id="rId74" Type="http://schemas.openxmlformats.org/officeDocument/2006/relationships/hyperlink" Target="https://2e.aonprd.com/Traits.aspx?ID=188" TargetMode="External"/><Relationship Id="rId128" Type="http://schemas.openxmlformats.org/officeDocument/2006/relationships/hyperlink" Target="https://2e.aonprd.com/WeaponGroups.aspx?ID=3" TargetMode="External"/><Relationship Id="rId335" Type="http://schemas.openxmlformats.org/officeDocument/2006/relationships/hyperlink" Target="https://2e.aonprd.com/Traits.aspx?ID=194" TargetMode="External"/><Relationship Id="rId377" Type="http://schemas.openxmlformats.org/officeDocument/2006/relationships/hyperlink" Target="https://2e.aonprd.com/Equipment.aspx?ID=91" TargetMode="External"/><Relationship Id="rId5" Type="http://schemas.openxmlformats.org/officeDocument/2006/relationships/hyperlink" Target="https://www.myth-weavers.com/sheet.html" TargetMode="External"/><Relationship Id="rId181" Type="http://schemas.openxmlformats.org/officeDocument/2006/relationships/hyperlink" Target="https://2e.aonprd.com/Equipment.aspx?ID=26" TargetMode="External"/><Relationship Id="rId237" Type="http://schemas.openxmlformats.org/officeDocument/2006/relationships/hyperlink" Target="https://2e.aonprd.com/Equipment.aspx?ID=23" TargetMode="External"/><Relationship Id="rId279" Type="http://schemas.openxmlformats.org/officeDocument/2006/relationships/hyperlink" Target="https://2e.aonprd.com/Equipment.aspx?ID=44" TargetMode="External"/><Relationship Id="rId43" Type="http://schemas.openxmlformats.org/officeDocument/2006/relationships/hyperlink" Target="https://2e.aonprd.com/Equipment.aspx?ID=44" TargetMode="External"/><Relationship Id="rId139" Type="http://schemas.openxmlformats.org/officeDocument/2006/relationships/hyperlink" Target="https://2e.aonprd.com/Equipment.aspx?ID=4" TargetMode="External"/><Relationship Id="rId290" Type="http://schemas.openxmlformats.org/officeDocument/2006/relationships/hyperlink" Target="https://2e.aonprd.com/Equipment.aspx?ID=40" TargetMode="External"/><Relationship Id="rId304" Type="http://schemas.openxmlformats.org/officeDocument/2006/relationships/hyperlink" Target="https://2e.aonprd.com/Traits.aspx?ID=179" TargetMode="External"/><Relationship Id="rId346" Type="http://schemas.openxmlformats.org/officeDocument/2006/relationships/hyperlink" Target="https://2e.aonprd.com/Traits.aspx?ID=170" TargetMode="External"/><Relationship Id="rId388" Type="http://schemas.openxmlformats.org/officeDocument/2006/relationships/hyperlink" Target="https://2e.aonprd.com/Equipment.aspx?ID=482" TargetMode="External"/><Relationship Id="rId85" Type="http://schemas.openxmlformats.org/officeDocument/2006/relationships/hyperlink" Target="https://2e.aonprd.com/Traits.aspx?ID=199" TargetMode="External"/><Relationship Id="rId150" Type="http://schemas.openxmlformats.org/officeDocument/2006/relationships/hyperlink" Target="https://2e.aonprd.com/Traits.aspx?ID=170" TargetMode="External"/><Relationship Id="rId192" Type="http://schemas.openxmlformats.org/officeDocument/2006/relationships/hyperlink" Target="https://2e.aonprd.com/Equipment.aspx?ID=7" TargetMode="External"/><Relationship Id="rId206" Type="http://schemas.openxmlformats.org/officeDocument/2006/relationships/hyperlink" Target="https://2e.aonprd.com/Traits.aspx?ID=170" TargetMode="External"/><Relationship Id="rId248" Type="http://schemas.openxmlformats.org/officeDocument/2006/relationships/hyperlink" Target="https://2e.aonprd.com/Spells.aspx?ID=50" TargetMode="External"/><Relationship Id="rId12" Type="http://schemas.openxmlformats.org/officeDocument/2006/relationships/hyperlink" Target="https://2e.aonprd.com/ClassKits.aspx?ID=12" TargetMode="External"/><Relationship Id="rId108" Type="http://schemas.openxmlformats.org/officeDocument/2006/relationships/hyperlink" Target="https://2e.aonprd.com/WeaponGroups.aspx?ID=9" TargetMode="External"/><Relationship Id="rId315" Type="http://schemas.openxmlformats.org/officeDocument/2006/relationships/hyperlink" Target="https://2e.aonprd.com/Equipment.aspx?ID=2" TargetMode="External"/><Relationship Id="rId357" Type="http://schemas.openxmlformats.org/officeDocument/2006/relationships/hyperlink" Target="https://2e.aonprd.com/Spells.aspx?ID=949" TargetMode="External"/><Relationship Id="rId54" Type="http://schemas.openxmlformats.org/officeDocument/2006/relationships/hyperlink" Target="https://2e.aonprd.com/Equipment.aspx?ID=62" TargetMode="External"/><Relationship Id="rId96" Type="http://schemas.openxmlformats.org/officeDocument/2006/relationships/hyperlink" Target="https://2e.aonprd.com/WeaponGroups.aspx?ID=15" TargetMode="External"/><Relationship Id="rId161" Type="http://schemas.openxmlformats.org/officeDocument/2006/relationships/hyperlink" Target="https://2e.aonprd.com/Traits.aspx?ID=193" TargetMode="External"/><Relationship Id="rId217" Type="http://schemas.openxmlformats.org/officeDocument/2006/relationships/hyperlink" Target="https://2e.aonprd.com/Spells.aspx?ID=975" TargetMode="External"/><Relationship Id="rId259" Type="http://schemas.openxmlformats.org/officeDocument/2006/relationships/hyperlink" Target="https://2e.aonprd.com/Equipment.aspx?ID=7" TargetMode="External"/><Relationship Id="rId23" Type="http://schemas.openxmlformats.org/officeDocument/2006/relationships/hyperlink" Target="https://2e.aonprd.com/Equipment.aspx?ID=4" TargetMode="External"/><Relationship Id="rId119" Type="http://schemas.openxmlformats.org/officeDocument/2006/relationships/hyperlink" Target="https://2e.aonprd.com/Traits.aspx?ID=195" TargetMode="External"/><Relationship Id="rId270" Type="http://schemas.openxmlformats.org/officeDocument/2006/relationships/hyperlink" Target="https://2e.aonprd.com/Equipment.aspx?ID=21" TargetMode="External"/><Relationship Id="rId326" Type="http://schemas.openxmlformats.org/officeDocument/2006/relationships/hyperlink" Target="https://2e.aonprd.com/Traits.aspx?ID=179" TargetMode="External"/><Relationship Id="rId65" Type="http://schemas.openxmlformats.org/officeDocument/2006/relationships/hyperlink" Target="https://2e.aonprd.com/Weapons.aspx?ID=36" TargetMode="External"/><Relationship Id="rId130" Type="http://schemas.openxmlformats.org/officeDocument/2006/relationships/hyperlink" Target="https://2e.aonprd.com/Equipment.aspx?ID=12" TargetMode="External"/><Relationship Id="rId368" Type="http://schemas.openxmlformats.org/officeDocument/2006/relationships/hyperlink" Target="https://2e.aonprd.com/Equipment.aspx?ID=91" TargetMode="External"/><Relationship Id="rId172" Type="http://schemas.openxmlformats.org/officeDocument/2006/relationships/hyperlink" Target="https://2e.aonprd.com/Weapons.aspx?ID=12" TargetMode="External"/><Relationship Id="rId228" Type="http://schemas.openxmlformats.org/officeDocument/2006/relationships/hyperlink" Target="https://2e.aonprd.com/Equipment.aspx?ID=63" TargetMode="External"/><Relationship Id="rId281" Type="http://schemas.openxmlformats.org/officeDocument/2006/relationships/hyperlink" Target="https://2e.aonprd.com/Equipment.aspx?ID=52" TargetMode="External"/><Relationship Id="rId337" Type="http://schemas.openxmlformats.org/officeDocument/2006/relationships/hyperlink" Target="https://2e.aonprd.com/Traits.aspx?ID=159" TargetMode="External"/><Relationship Id="rId34" Type="http://schemas.openxmlformats.org/officeDocument/2006/relationships/hyperlink" Target="https://2e.aonprd.com/Equipment.aspx?ID=21" TargetMode="External"/><Relationship Id="rId76" Type="http://schemas.openxmlformats.org/officeDocument/2006/relationships/hyperlink" Target="https://2e.aonprd.com/Traits.aspx?ID=199" TargetMode="External"/><Relationship Id="rId141" Type="http://schemas.openxmlformats.org/officeDocument/2006/relationships/hyperlink" Target="https://2e.aonprd.com/Equipment.aspx?ID=12" TargetMode="External"/><Relationship Id="rId379" Type="http://schemas.openxmlformats.org/officeDocument/2006/relationships/hyperlink" Target="https://2e.aonprd.com/Equipment.aspx?ID=81" TargetMode="External"/><Relationship Id="rId7" Type="http://schemas.openxmlformats.org/officeDocument/2006/relationships/hyperlink" Target="https://2e.aonprd.com/ClassKits.aspx?ID=10" TargetMode="External"/><Relationship Id="rId183" Type="http://schemas.openxmlformats.org/officeDocument/2006/relationships/hyperlink" Target="https://2e.aonprd.com/Armor.aspx?ID=7" TargetMode="External"/><Relationship Id="rId239" Type="http://schemas.openxmlformats.org/officeDocument/2006/relationships/hyperlink" Target="https://2e.aonprd.com/Equipment.aspx?ID=223" TargetMode="External"/><Relationship Id="rId250" Type="http://schemas.openxmlformats.org/officeDocument/2006/relationships/hyperlink" Target="https://2e.aonprd.com/Equipment.aspx?ID=7" TargetMode="External"/><Relationship Id="rId292" Type="http://schemas.openxmlformats.org/officeDocument/2006/relationships/hyperlink" Target="https://2e.aonprd.com/Equipment.aspx?ID=60" TargetMode="External"/><Relationship Id="rId306" Type="http://schemas.openxmlformats.org/officeDocument/2006/relationships/hyperlink" Target="https://2e.aonprd.com/Traits.aspx?ID=179" TargetMode="External"/><Relationship Id="rId45" Type="http://schemas.openxmlformats.org/officeDocument/2006/relationships/hyperlink" Target="https://2e.aonprd.com/Equipment.aspx?ID=40" TargetMode="External"/><Relationship Id="rId87" Type="http://schemas.openxmlformats.org/officeDocument/2006/relationships/hyperlink" Target="https://2e.aonprd.com/Traits.aspx?ID=192" TargetMode="External"/><Relationship Id="rId110" Type="http://schemas.openxmlformats.org/officeDocument/2006/relationships/hyperlink" Target="https://2e.aonprd.com/Traits.aspx?ID=196" TargetMode="External"/><Relationship Id="rId348" Type="http://schemas.openxmlformats.org/officeDocument/2006/relationships/hyperlink" Target="https://2e.aonprd.com/Equipment.aspx?ID=186" TargetMode="External"/><Relationship Id="rId152" Type="http://schemas.openxmlformats.org/officeDocument/2006/relationships/hyperlink" Target="https://2e.aonprd.com/WeaponGroups.aspx?ID=9" TargetMode="External"/><Relationship Id="rId194" Type="http://schemas.openxmlformats.org/officeDocument/2006/relationships/hyperlink" Target="https://2e.aonprd.com/Equipment.aspx?ID=21" TargetMode="External"/><Relationship Id="rId208" Type="http://schemas.openxmlformats.org/officeDocument/2006/relationships/hyperlink" Target="https://2e.aonprd.com/Traits.aspx?ID=170" TargetMode="External"/><Relationship Id="rId261" Type="http://schemas.openxmlformats.org/officeDocument/2006/relationships/hyperlink" Target="https://2e.aonprd.com/Equipment.aspx?ID=21" TargetMode="External"/><Relationship Id="rId14" Type="http://schemas.openxmlformats.org/officeDocument/2006/relationships/hyperlink" Target="https://2e.aonprd.com/Equipment.aspx?ID=7" TargetMode="External"/><Relationship Id="rId56" Type="http://schemas.openxmlformats.org/officeDocument/2006/relationships/hyperlink" Target="https://2e.aonprd.com/Equipment.aspx?ID=62" TargetMode="External"/><Relationship Id="rId317" Type="http://schemas.openxmlformats.org/officeDocument/2006/relationships/hyperlink" Target="https://2e.aonprd.com/Traits.aspx?ID=179" TargetMode="External"/><Relationship Id="rId359" Type="http://schemas.openxmlformats.org/officeDocument/2006/relationships/hyperlink" Target="https://2e.aonprd.com/Feats.aspx?ID=87" TargetMode="External"/><Relationship Id="rId98" Type="http://schemas.openxmlformats.org/officeDocument/2006/relationships/hyperlink" Target="https://2e.aonprd.com/Traits.aspx?ID=200" TargetMode="External"/><Relationship Id="rId121" Type="http://schemas.openxmlformats.org/officeDocument/2006/relationships/hyperlink" Target="https://2e.aonprd.com/Traits.aspx?ID=179" TargetMode="External"/><Relationship Id="rId163" Type="http://schemas.openxmlformats.org/officeDocument/2006/relationships/hyperlink" Target="https://2e.aonprd.com/Traits.aspx?ID=192" TargetMode="External"/><Relationship Id="rId219" Type="http://schemas.openxmlformats.org/officeDocument/2006/relationships/hyperlink" Target="https://2e.aonprd.com/Actions.aspx?ID=8" TargetMode="External"/><Relationship Id="rId370" Type="http://schemas.openxmlformats.org/officeDocument/2006/relationships/hyperlink" Target="https://2e.aonprd.com/Equipment.aspx?ID=91" TargetMode="External"/><Relationship Id="rId230" Type="http://schemas.openxmlformats.org/officeDocument/2006/relationships/hyperlink" Target="https://2e.aonprd.com/Equipment.aspx?ID=187" TargetMode="External"/><Relationship Id="rId25" Type="http://schemas.openxmlformats.org/officeDocument/2006/relationships/hyperlink" Target="https://2e.aonprd.com/Equipment.aspx?ID=4" TargetMode="External"/><Relationship Id="rId67" Type="http://schemas.openxmlformats.org/officeDocument/2006/relationships/hyperlink" Target="https://2e.aonprd.com/Traits.aspx?ID=198" TargetMode="External"/><Relationship Id="rId272" Type="http://schemas.openxmlformats.org/officeDocument/2006/relationships/hyperlink" Target="https://2e.aonprd.com/Equipment.aspx?ID=40" TargetMode="External"/><Relationship Id="rId328" Type="http://schemas.openxmlformats.org/officeDocument/2006/relationships/hyperlink" Target="https://2e.aonprd.com/Equipment.aspx?ID=226" TargetMode="External"/><Relationship Id="rId132" Type="http://schemas.openxmlformats.org/officeDocument/2006/relationships/hyperlink" Target="https://2e.aonprd.com/WeaponGroups.aspx?ID=7" TargetMode="External"/><Relationship Id="rId174" Type="http://schemas.openxmlformats.org/officeDocument/2006/relationships/hyperlink" Target="https://2e.aonprd.com/WeaponGroups.aspx?ID=7" TargetMode="External"/><Relationship Id="rId381" Type="http://schemas.openxmlformats.org/officeDocument/2006/relationships/hyperlink" Target="https://2e.aonprd.com/Weapons.aspx?ID=8" TargetMode="External"/><Relationship Id="rId241" Type="http://schemas.openxmlformats.org/officeDocument/2006/relationships/hyperlink" Target="https://2e.aonprd.com/Weapons.aspx?ID=29" TargetMode="External"/><Relationship Id="rId36" Type="http://schemas.openxmlformats.org/officeDocument/2006/relationships/hyperlink" Target="https://2e.aonprd.com/Equipment.aspx?ID=21" TargetMode="External"/><Relationship Id="rId283" Type="http://schemas.openxmlformats.org/officeDocument/2006/relationships/hyperlink" Target="https://2e.aonprd.com/Equipment.aspx?ID=62" TargetMode="External"/><Relationship Id="rId339" Type="http://schemas.openxmlformats.org/officeDocument/2006/relationships/hyperlink" Target="https://2e.aonprd.com/Deities.aspx?ID=30" TargetMode="External"/><Relationship Id="rId78" Type="http://schemas.openxmlformats.org/officeDocument/2006/relationships/hyperlink" Target="https://2e.aonprd.com/WeaponGroups.aspx?ID=4" TargetMode="External"/><Relationship Id="rId101" Type="http://schemas.openxmlformats.org/officeDocument/2006/relationships/hyperlink" Target="https://2e.aonprd.com/Traits.aspx?ID=195" TargetMode="External"/><Relationship Id="rId143" Type="http://schemas.openxmlformats.org/officeDocument/2006/relationships/hyperlink" Target="https://2e.aonprd.com/Equipment.aspx?ID=44" TargetMode="External"/><Relationship Id="rId185" Type="http://schemas.openxmlformats.org/officeDocument/2006/relationships/hyperlink" Target="https://2e.aonprd.com/Equipment.aspx?ID=41" TargetMode="External"/><Relationship Id="rId350" Type="http://schemas.openxmlformats.org/officeDocument/2006/relationships/hyperlink" Target="https://2e.aonprd.com/Equipment.aspx?ID=417" TargetMode="External"/><Relationship Id="rId9" Type="http://schemas.openxmlformats.org/officeDocument/2006/relationships/hyperlink" Target="https://2e.aonprd.com/ClassKits.aspx?ID=5" TargetMode="External"/><Relationship Id="rId210" Type="http://schemas.openxmlformats.org/officeDocument/2006/relationships/hyperlink" Target="https://2e.aonprd.com/Traits.aspx?ID=179" TargetMode="External"/><Relationship Id="rId252" Type="http://schemas.openxmlformats.org/officeDocument/2006/relationships/hyperlink" Target="https://2e.aonprd.com/Equipment.aspx?ID=21" TargetMode="External"/><Relationship Id="rId294" Type="http://schemas.openxmlformats.org/officeDocument/2006/relationships/hyperlink" Target="https://2e.aonprd.com/Weapons.aspx?ID=3" TargetMode="External"/><Relationship Id="rId308" Type="http://schemas.openxmlformats.org/officeDocument/2006/relationships/hyperlink" Target="https://2e.aonprd.com/WeaponGroups.aspx?ID=4" TargetMode="External"/><Relationship Id="rId47" Type="http://schemas.openxmlformats.org/officeDocument/2006/relationships/hyperlink" Target="https://2e.aonprd.com/Equipment.aspx?ID=52" TargetMode="External"/><Relationship Id="rId89" Type="http://schemas.openxmlformats.org/officeDocument/2006/relationships/hyperlink" Target="https://2e.aonprd.com/WeaponGroups.aspx?ID=9" TargetMode="External"/><Relationship Id="rId112" Type="http://schemas.openxmlformats.org/officeDocument/2006/relationships/hyperlink" Target="https://2e.aonprd.com/WeaponGroups.aspx?ID=15" TargetMode="External"/><Relationship Id="rId154" Type="http://schemas.openxmlformats.org/officeDocument/2006/relationships/hyperlink" Target="https://2e.aonprd.com/Traits.aspx?ID=195" TargetMode="External"/><Relationship Id="rId361" Type="http://schemas.openxmlformats.org/officeDocument/2006/relationships/hyperlink" Target="https://2e.aonprd.com/Equipment.aspx?ID=91" TargetMode="External"/><Relationship Id="rId196" Type="http://schemas.openxmlformats.org/officeDocument/2006/relationships/hyperlink" Target="https://2e.aonprd.com/Equipment.aspx?ID=40" TargetMode="External"/><Relationship Id="rId200" Type="http://schemas.openxmlformats.org/officeDocument/2006/relationships/hyperlink" Target="https://2e.aonprd.com/Traits.aspx?ID=170" TargetMode="External"/><Relationship Id="rId382" Type="http://schemas.openxmlformats.org/officeDocument/2006/relationships/hyperlink" Target="https://2e.aonprd.com/Traits.aspx?ID=191" TargetMode="External"/><Relationship Id="rId16" Type="http://schemas.openxmlformats.org/officeDocument/2006/relationships/hyperlink" Target="https://2e.aonprd.com/Equipment.aspx?ID=21" TargetMode="External"/><Relationship Id="rId221" Type="http://schemas.openxmlformats.org/officeDocument/2006/relationships/hyperlink" Target="https://2e.aonprd.com/Feats.aspx?ID=360" TargetMode="External"/><Relationship Id="rId242" Type="http://schemas.openxmlformats.org/officeDocument/2006/relationships/hyperlink" Target="https://2e.aonprd.com/Equipment.aspx?ID=239" TargetMode="External"/><Relationship Id="rId263" Type="http://schemas.openxmlformats.org/officeDocument/2006/relationships/hyperlink" Target="https://2e.aonprd.com/Equipment.aspx?ID=40" TargetMode="External"/><Relationship Id="rId284" Type="http://schemas.openxmlformats.org/officeDocument/2006/relationships/hyperlink" Target="https://2e.aonprd.com/Equipment.aspx?ID=179" TargetMode="External"/><Relationship Id="rId319" Type="http://schemas.openxmlformats.org/officeDocument/2006/relationships/hyperlink" Target="https://2e.aonprd.com/Traits.aspx?ID=174" TargetMode="External"/><Relationship Id="rId37" Type="http://schemas.openxmlformats.org/officeDocument/2006/relationships/hyperlink" Target="https://2e.aonprd.com/Equipment.aspx?ID=21" TargetMode="External"/><Relationship Id="rId58" Type="http://schemas.openxmlformats.org/officeDocument/2006/relationships/hyperlink" Target="https://2e.aonprd.com/Weapons.aspx?ID=71" TargetMode="External"/><Relationship Id="rId79" Type="http://schemas.openxmlformats.org/officeDocument/2006/relationships/hyperlink" Target="https://2e.aonprd.com/Traits.aspx?ID=199" TargetMode="External"/><Relationship Id="rId102" Type="http://schemas.openxmlformats.org/officeDocument/2006/relationships/hyperlink" Target="https://2e.aonprd.com/Traits.aspx?ID=170" TargetMode="External"/><Relationship Id="rId123" Type="http://schemas.openxmlformats.org/officeDocument/2006/relationships/hyperlink" Target="https://2e.aonprd.com/WeaponGroups.aspx?ID=4" TargetMode="External"/><Relationship Id="rId144" Type="http://schemas.openxmlformats.org/officeDocument/2006/relationships/hyperlink" Target="https://2e.aonprd.com/Equipment.aspx?ID=40" TargetMode="External"/><Relationship Id="rId330" Type="http://schemas.openxmlformats.org/officeDocument/2006/relationships/hyperlink" Target="https://2e.aonprd.com/Traits.aspx?ID=194" TargetMode="External"/><Relationship Id="rId90" Type="http://schemas.openxmlformats.org/officeDocument/2006/relationships/hyperlink" Target="https://2e.aonprd.com/Traits.aspx?ID=170" TargetMode="External"/><Relationship Id="rId165" Type="http://schemas.openxmlformats.org/officeDocument/2006/relationships/hyperlink" Target="https://2e.aonprd.com/Traits.aspx?ID=194" TargetMode="External"/><Relationship Id="rId186" Type="http://schemas.openxmlformats.org/officeDocument/2006/relationships/hyperlink" Target="https://2e.aonprd.com/Equipment.aspx?ID=25" TargetMode="External"/><Relationship Id="rId351" Type="http://schemas.openxmlformats.org/officeDocument/2006/relationships/hyperlink" Target="https://2e.aonprd.com/Weapons.aspx?ID=24" TargetMode="External"/><Relationship Id="rId372" Type="http://schemas.openxmlformats.org/officeDocument/2006/relationships/hyperlink" Target="https://2e.aonprd.com/Equipment.aspx?ID=170" TargetMode="External"/><Relationship Id="rId211" Type="http://schemas.openxmlformats.org/officeDocument/2006/relationships/hyperlink" Target="https://2e.aonprd.com/Traits.aspx?ID=179" TargetMode="External"/><Relationship Id="rId232" Type="http://schemas.openxmlformats.org/officeDocument/2006/relationships/hyperlink" Target="https://2e.aonprd.com/Equipment.aspx?ID=37" TargetMode="External"/><Relationship Id="rId253" Type="http://schemas.openxmlformats.org/officeDocument/2006/relationships/hyperlink" Target="https://2e.aonprd.com/Equipment.aspx?ID=44" TargetMode="External"/><Relationship Id="rId274" Type="http://schemas.openxmlformats.org/officeDocument/2006/relationships/hyperlink" Target="https://2e.aonprd.com/Equipment.aspx?ID=60" TargetMode="External"/><Relationship Id="rId295" Type="http://schemas.openxmlformats.org/officeDocument/2006/relationships/hyperlink" Target="https://2e.aonprd.com/WeaponGroups.aspx?ID=4" TargetMode="External"/><Relationship Id="rId309" Type="http://schemas.openxmlformats.org/officeDocument/2006/relationships/hyperlink" Target="https://2e.aonprd.com/Feats.aspx?ID=41" TargetMode="External"/><Relationship Id="rId27" Type="http://schemas.openxmlformats.org/officeDocument/2006/relationships/hyperlink" Target="https://2e.aonprd.com/Equipment.aspx?ID=7" TargetMode="External"/><Relationship Id="rId48" Type="http://schemas.openxmlformats.org/officeDocument/2006/relationships/hyperlink" Target="https://2e.aonprd.com/Equipment.aspx?ID=52" TargetMode="External"/><Relationship Id="rId69" Type="http://schemas.openxmlformats.org/officeDocument/2006/relationships/hyperlink" Target="https://2e.aonprd.com/Traits.aspx?ID=198" TargetMode="External"/><Relationship Id="rId113" Type="http://schemas.openxmlformats.org/officeDocument/2006/relationships/hyperlink" Target="https://2e.aonprd.com/WeaponGroups.aspx?ID=15" TargetMode="External"/><Relationship Id="rId134" Type="http://schemas.openxmlformats.org/officeDocument/2006/relationships/hyperlink" Target="https://2e.aonprd.com/Traits.aspx?ID=188" TargetMode="External"/><Relationship Id="rId320" Type="http://schemas.openxmlformats.org/officeDocument/2006/relationships/hyperlink" Target="https://www.myth-weavers.com/sheet.html" TargetMode="External"/><Relationship Id="rId80" Type="http://schemas.openxmlformats.org/officeDocument/2006/relationships/hyperlink" Target="https://2e.aonprd.com/Traits.aspx?ID=188" TargetMode="External"/><Relationship Id="rId155" Type="http://schemas.openxmlformats.org/officeDocument/2006/relationships/hyperlink" Target="https://2e.aonprd.com/WeaponGroups.aspx?ID=4" TargetMode="External"/><Relationship Id="rId176" Type="http://schemas.openxmlformats.org/officeDocument/2006/relationships/hyperlink" Target="https://2e.aonprd.com/Traits.aspx?ID=199" TargetMode="External"/><Relationship Id="rId197" Type="http://schemas.openxmlformats.org/officeDocument/2006/relationships/hyperlink" Target="https://2e.aonprd.com/Equipment.aspx?ID=52" TargetMode="External"/><Relationship Id="rId341" Type="http://schemas.openxmlformats.org/officeDocument/2006/relationships/hyperlink" Target="https://2e.aonprd.com/Equipment.aspx?ID=186" TargetMode="External"/><Relationship Id="rId362" Type="http://schemas.openxmlformats.org/officeDocument/2006/relationships/hyperlink" Target="https://2e.aonprd.com/Equipment.aspx?ID=81" TargetMode="External"/><Relationship Id="rId383" Type="http://schemas.openxmlformats.org/officeDocument/2006/relationships/hyperlink" Target="https://2e.aonprd.com/WeaponGroups.aspx?ID=13" TargetMode="External"/><Relationship Id="rId201" Type="http://schemas.openxmlformats.org/officeDocument/2006/relationships/hyperlink" Target="https://2e.aonprd.com/Traits.aspx?ID=179" TargetMode="External"/><Relationship Id="rId222" Type="http://schemas.openxmlformats.org/officeDocument/2006/relationships/hyperlink" Target="https://2e.aonprd.com/Actions.aspx?ID=1" TargetMode="External"/><Relationship Id="rId243" Type="http://schemas.openxmlformats.org/officeDocument/2006/relationships/hyperlink" Target="https://2e.aonprd.com/Armor.aspx?ID=7" TargetMode="External"/><Relationship Id="rId264" Type="http://schemas.openxmlformats.org/officeDocument/2006/relationships/hyperlink" Target="https://2e.aonprd.com/Equipment.aspx?ID=52" TargetMode="External"/><Relationship Id="rId285" Type="http://schemas.openxmlformats.org/officeDocument/2006/relationships/hyperlink" Target="https://2e.aonprd.com/Equipment.aspx?ID=4" TargetMode="External"/><Relationship Id="rId17" Type="http://schemas.openxmlformats.org/officeDocument/2006/relationships/hyperlink" Target="https://2e.aonprd.com/Equipment.aspx?ID=44" TargetMode="External"/><Relationship Id="rId38" Type="http://schemas.openxmlformats.org/officeDocument/2006/relationships/hyperlink" Target="https://2e.aonprd.com/Equipment.aspx?ID=21" TargetMode="External"/><Relationship Id="rId59" Type="http://schemas.openxmlformats.org/officeDocument/2006/relationships/hyperlink" Target="https://2e.aonprd.com/Weapons.aspx?ID=13" TargetMode="External"/><Relationship Id="rId103" Type="http://schemas.openxmlformats.org/officeDocument/2006/relationships/hyperlink" Target="https://2e.aonprd.com/Traits.aspx?ID=200" TargetMode="External"/><Relationship Id="rId124" Type="http://schemas.openxmlformats.org/officeDocument/2006/relationships/hyperlink" Target="https://2e.aonprd.com/Traits.aspx?ID=195" TargetMode="External"/><Relationship Id="rId310" Type="http://schemas.openxmlformats.org/officeDocument/2006/relationships/hyperlink" Target="https://2e.aonprd.com/Weapons.aspx?ID=3" TargetMode="External"/><Relationship Id="rId70" Type="http://schemas.openxmlformats.org/officeDocument/2006/relationships/hyperlink" Target="https://2e.aonprd.com/WeaponGroups.aspx?ID=5" TargetMode="External"/><Relationship Id="rId91" Type="http://schemas.openxmlformats.org/officeDocument/2006/relationships/hyperlink" Target="https://2e.aonprd.com/Traits.aspx?ID=54" TargetMode="External"/><Relationship Id="rId145" Type="http://schemas.openxmlformats.org/officeDocument/2006/relationships/hyperlink" Target="https://2e.aonprd.com/Equipment.aspx?ID=52" TargetMode="External"/><Relationship Id="rId166" Type="http://schemas.openxmlformats.org/officeDocument/2006/relationships/hyperlink" Target="https://2e.aonprd.com/WeaponGroups.aspx?ID=14" TargetMode="External"/><Relationship Id="rId187" Type="http://schemas.openxmlformats.org/officeDocument/2006/relationships/hyperlink" Target="https://2e.aonprd.com/Equipment.aspx?ID=80" TargetMode="External"/><Relationship Id="rId331" Type="http://schemas.openxmlformats.org/officeDocument/2006/relationships/hyperlink" Target="https://2e.aonprd.com/Traits.aspx?ID=198" TargetMode="External"/><Relationship Id="rId352" Type="http://schemas.openxmlformats.org/officeDocument/2006/relationships/hyperlink" Target="https://2e.aonprd.com/Weapons.aspx?ID=26" TargetMode="External"/><Relationship Id="rId373" Type="http://schemas.openxmlformats.org/officeDocument/2006/relationships/hyperlink" Target="https://2e.aonprd.com/Equipment.aspx?ID=57" TargetMode="External"/><Relationship Id="rId1" Type="http://schemas.openxmlformats.org/officeDocument/2006/relationships/hyperlink" Target="https://www.myth-weavers.com/sheet.html" TargetMode="External"/><Relationship Id="rId212" Type="http://schemas.openxmlformats.org/officeDocument/2006/relationships/hyperlink" Target="https://2e.aonprd.com/Traits.aspx?ID=170" TargetMode="External"/><Relationship Id="rId233" Type="http://schemas.openxmlformats.org/officeDocument/2006/relationships/hyperlink" Target="https://2e.aonprd.com/Equipment.aspx?ID=270" TargetMode="External"/><Relationship Id="rId254" Type="http://schemas.openxmlformats.org/officeDocument/2006/relationships/hyperlink" Target="https://2e.aonprd.com/Equipment.aspx?ID=40" TargetMode="External"/><Relationship Id="rId28" Type="http://schemas.openxmlformats.org/officeDocument/2006/relationships/hyperlink" Target="https://2e.aonprd.com/Equipment.aspx?ID=7" TargetMode="External"/><Relationship Id="rId49" Type="http://schemas.openxmlformats.org/officeDocument/2006/relationships/hyperlink" Target="https://2e.aonprd.com/Equipment.aspx?ID=52" TargetMode="External"/><Relationship Id="rId114" Type="http://schemas.openxmlformats.org/officeDocument/2006/relationships/hyperlink" Target="https://2e.aonprd.com/Traits.aspx?ID=179" TargetMode="External"/><Relationship Id="rId275" Type="http://schemas.openxmlformats.org/officeDocument/2006/relationships/hyperlink" Target="https://2e.aonprd.com/Equipment.aspx?ID=62" TargetMode="External"/><Relationship Id="rId296" Type="http://schemas.openxmlformats.org/officeDocument/2006/relationships/hyperlink" Target="https://2e.aonprd.com/Traits.aspx?ID=199" TargetMode="External"/><Relationship Id="rId300" Type="http://schemas.openxmlformats.org/officeDocument/2006/relationships/hyperlink" Target="https://2e.aonprd.com/WeaponGroups.aspx?ID=9" TargetMode="External"/><Relationship Id="rId60" Type="http://schemas.openxmlformats.org/officeDocument/2006/relationships/hyperlink" Target="https://2e.aonprd.com/Weapons.aspx?ID=31" TargetMode="External"/><Relationship Id="rId81" Type="http://schemas.openxmlformats.org/officeDocument/2006/relationships/hyperlink" Target="https://2e.aonprd.com/WeaponGroups.aspx?ID=4" TargetMode="External"/><Relationship Id="rId135" Type="http://schemas.openxmlformats.org/officeDocument/2006/relationships/hyperlink" Target="https://2e.aonprd.com/Traits.aspx?ID=192" TargetMode="External"/><Relationship Id="rId156" Type="http://schemas.openxmlformats.org/officeDocument/2006/relationships/hyperlink" Target="https://2e.aonprd.com/Traits.aspx?ID=199" TargetMode="External"/><Relationship Id="rId177" Type="http://schemas.openxmlformats.org/officeDocument/2006/relationships/hyperlink" Target="https://2e.aonprd.com/Traits.aspx?ID=188" TargetMode="External"/><Relationship Id="rId198" Type="http://schemas.openxmlformats.org/officeDocument/2006/relationships/hyperlink" Target="https://2e.aonprd.com/Equipment.aspx?ID=60" TargetMode="External"/><Relationship Id="rId321" Type="http://schemas.openxmlformats.org/officeDocument/2006/relationships/hyperlink" Target="https://2e.aonprd.com/ArcaneThesis.aspx" TargetMode="External"/><Relationship Id="rId342" Type="http://schemas.openxmlformats.org/officeDocument/2006/relationships/hyperlink" Target="https://2e.aonprd.com/Equipment.aspx?ID=255" TargetMode="External"/><Relationship Id="rId363" Type="http://schemas.openxmlformats.org/officeDocument/2006/relationships/hyperlink" Target="https://2e.aonprd.com/Equipment.aspx?ID=81" TargetMode="External"/><Relationship Id="rId384" Type="http://schemas.openxmlformats.org/officeDocument/2006/relationships/hyperlink" Target="https://2e.aonprd.com/Traits.aspx?ID=200" TargetMode="External"/><Relationship Id="rId202" Type="http://schemas.openxmlformats.org/officeDocument/2006/relationships/hyperlink" Target="https://2e.aonprd.com/Traits.aspx?ID=170" TargetMode="External"/><Relationship Id="rId223" Type="http://schemas.openxmlformats.org/officeDocument/2006/relationships/hyperlink" Target="https://2e.aonprd.com/Spells.aspx?ID=975" TargetMode="External"/><Relationship Id="rId244" Type="http://schemas.openxmlformats.org/officeDocument/2006/relationships/hyperlink" Target="https://2e.aonprd.com/Weapons.aspx?ID=83" TargetMode="External"/><Relationship Id="rId18" Type="http://schemas.openxmlformats.org/officeDocument/2006/relationships/hyperlink" Target="https://2e.aonprd.com/Equipment.aspx?ID=40" TargetMode="External"/><Relationship Id="rId39" Type="http://schemas.openxmlformats.org/officeDocument/2006/relationships/hyperlink" Target="https://2e.aonprd.com/Equipment.aspx?ID=44" TargetMode="External"/><Relationship Id="rId265" Type="http://schemas.openxmlformats.org/officeDocument/2006/relationships/hyperlink" Target="https://2e.aonprd.com/Equipment.aspx?ID=60" TargetMode="External"/><Relationship Id="rId286" Type="http://schemas.openxmlformats.org/officeDocument/2006/relationships/hyperlink" Target="https://2e.aonprd.com/Equipment.aspx?ID=7" TargetMode="External"/><Relationship Id="rId50" Type="http://schemas.openxmlformats.org/officeDocument/2006/relationships/hyperlink" Target="https://2e.aonprd.com/Equipment.aspx?ID=52" TargetMode="External"/><Relationship Id="rId104" Type="http://schemas.openxmlformats.org/officeDocument/2006/relationships/hyperlink" Target="https://2e.aonprd.com/WeaponGroups.aspx?ID=9" TargetMode="External"/><Relationship Id="rId125" Type="http://schemas.openxmlformats.org/officeDocument/2006/relationships/hyperlink" Target="https://2e.aonprd.com/WeaponGroups.aspx?ID=6" TargetMode="External"/><Relationship Id="rId146" Type="http://schemas.openxmlformats.org/officeDocument/2006/relationships/hyperlink" Target="https://2e.aonprd.com/Equipment.aspx?ID=60" TargetMode="External"/><Relationship Id="rId167" Type="http://schemas.openxmlformats.org/officeDocument/2006/relationships/hyperlink" Target="https://2e.aonprd.com/Weapons.aspx?ID=72" TargetMode="External"/><Relationship Id="rId188" Type="http://schemas.openxmlformats.org/officeDocument/2006/relationships/hyperlink" Target="https://2e.aonprd.com/Equipment.aspx?ID=35" TargetMode="External"/><Relationship Id="rId311" Type="http://schemas.openxmlformats.org/officeDocument/2006/relationships/hyperlink" Target="https://2e.aonprd.com/Equipment.aspx?ID=14" TargetMode="External"/><Relationship Id="rId332" Type="http://schemas.openxmlformats.org/officeDocument/2006/relationships/hyperlink" Target="https://2e.aonprd.com/Traits.aspx?ID=159" TargetMode="External"/><Relationship Id="rId353" Type="http://schemas.openxmlformats.org/officeDocument/2006/relationships/hyperlink" Target="https://2e.aonprd.com/Classes.aspx?ID=2" TargetMode="External"/><Relationship Id="rId374" Type="http://schemas.openxmlformats.org/officeDocument/2006/relationships/hyperlink" Target="https://2e.aonprd.com/Equipment.aspx?ID=1401" TargetMode="External"/><Relationship Id="rId71" Type="http://schemas.openxmlformats.org/officeDocument/2006/relationships/hyperlink" Target="https://2e.aonprd.com/WeaponGroups.aspx?ID=3" TargetMode="External"/><Relationship Id="rId92" Type="http://schemas.openxmlformats.org/officeDocument/2006/relationships/hyperlink" Target="https://2e.aonprd.com/Traits.aspx?ID=190" TargetMode="External"/><Relationship Id="rId213" Type="http://schemas.openxmlformats.org/officeDocument/2006/relationships/hyperlink" Target="https://2e.aonprd.com/Traits.aspx?ID=170" TargetMode="External"/><Relationship Id="rId234" Type="http://schemas.openxmlformats.org/officeDocument/2006/relationships/hyperlink" Target="https://2e.aonprd.com/Equipment.aspx?ID=78" TargetMode="External"/><Relationship Id="rId2" Type="http://schemas.openxmlformats.org/officeDocument/2006/relationships/hyperlink" Target="https://www.myth-weavers.com/sheet.html" TargetMode="External"/><Relationship Id="rId29" Type="http://schemas.openxmlformats.org/officeDocument/2006/relationships/hyperlink" Target="https://2e.aonprd.com/Equipment.aspx?ID=7" TargetMode="External"/><Relationship Id="rId255" Type="http://schemas.openxmlformats.org/officeDocument/2006/relationships/hyperlink" Target="https://2e.aonprd.com/Equipment.aspx?ID=52" TargetMode="External"/><Relationship Id="rId276" Type="http://schemas.openxmlformats.org/officeDocument/2006/relationships/hyperlink" Target="https://2e.aonprd.com/Equipment.aspx?ID=7" TargetMode="External"/><Relationship Id="rId297" Type="http://schemas.openxmlformats.org/officeDocument/2006/relationships/hyperlink" Target="https://2e.aonprd.com/Traits.aspx?ID=188" TargetMode="External"/><Relationship Id="rId40" Type="http://schemas.openxmlformats.org/officeDocument/2006/relationships/hyperlink" Target="https://2e.aonprd.com/Equipment.aspx?ID=44" TargetMode="External"/><Relationship Id="rId115" Type="http://schemas.openxmlformats.org/officeDocument/2006/relationships/hyperlink" Target="https://2e.aonprd.com/Traits.aspx?ID=175" TargetMode="External"/><Relationship Id="rId136" Type="http://schemas.openxmlformats.org/officeDocument/2006/relationships/hyperlink" Target="https://2e.aonprd.com/Traits.aspx?ID=196" TargetMode="External"/><Relationship Id="rId157" Type="http://schemas.openxmlformats.org/officeDocument/2006/relationships/hyperlink" Target="https://2e.aonprd.com/Traits.aspx?ID=188" TargetMode="External"/><Relationship Id="rId178" Type="http://schemas.openxmlformats.org/officeDocument/2006/relationships/hyperlink" Target="https://2e.aonprd.com/WeaponGroups.aspx?ID=5" TargetMode="External"/><Relationship Id="rId301" Type="http://schemas.openxmlformats.org/officeDocument/2006/relationships/hyperlink" Target="https://2e.aonprd.com/Traits.aspx?ID=179" TargetMode="External"/><Relationship Id="rId322" Type="http://schemas.openxmlformats.org/officeDocument/2006/relationships/hyperlink" Target="https://2e.aonprd.com/Equipment.aspx?ID=58" TargetMode="External"/><Relationship Id="rId343" Type="http://schemas.openxmlformats.org/officeDocument/2006/relationships/hyperlink" Target="https://2e.aonprd.com/Equipment.aspx?ID=212" TargetMode="External"/><Relationship Id="rId364" Type="http://schemas.openxmlformats.org/officeDocument/2006/relationships/hyperlink" Target="https://2e.aonprd.com/Equipment.aspx?ID=81" TargetMode="External"/><Relationship Id="rId61" Type="http://schemas.openxmlformats.org/officeDocument/2006/relationships/hyperlink" Target="https://2e.aonprd.com/Weapons.aspx?ID=9" TargetMode="External"/><Relationship Id="rId82" Type="http://schemas.openxmlformats.org/officeDocument/2006/relationships/hyperlink" Target="https://2e.aonprd.com/Traits.aspx?ID=199" TargetMode="External"/><Relationship Id="rId199" Type="http://schemas.openxmlformats.org/officeDocument/2006/relationships/hyperlink" Target="https://2e.aonprd.com/Equipment.aspx?ID=62" TargetMode="External"/><Relationship Id="rId203" Type="http://schemas.openxmlformats.org/officeDocument/2006/relationships/hyperlink" Target="https://2e.aonprd.com/Traits.aspx?ID=179" TargetMode="External"/><Relationship Id="rId385" Type="http://schemas.openxmlformats.org/officeDocument/2006/relationships/hyperlink" Target="https://2e.aonprd.com/Traits.aspx?ID=170" TargetMode="External"/><Relationship Id="rId19" Type="http://schemas.openxmlformats.org/officeDocument/2006/relationships/hyperlink" Target="https://2e.aonprd.com/Equipment.aspx?ID=52" TargetMode="External"/><Relationship Id="rId224" Type="http://schemas.openxmlformats.org/officeDocument/2006/relationships/hyperlink" Target="https://2e.aonprd.com/Feats.aspx?ID=834" TargetMode="External"/><Relationship Id="rId245" Type="http://schemas.openxmlformats.org/officeDocument/2006/relationships/hyperlink" Target="https://2e.aonprd.com/Shields.aspx?ID=3" TargetMode="External"/><Relationship Id="rId266" Type="http://schemas.openxmlformats.org/officeDocument/2006/relationships/hyperlink" Target="https://2e.aonprd.com/Equipment.aspx?ID=62" TargetMode="External"/><Relationship Id="rId287" Type="http://schemas.openxmlformats.org/officeDocument/2006/relationships/hyperlink" Target="https://2e.aonprd.com/Equipment.aspx?ID=12" TargetMode="External"/><Relationship Id="rId30" Type="http://schemas.openxmlformats.org/officeDocument/2006/relationships/hyperlink" Target="https://2e.aonprd.com/Equipment.aspx?ID=7" TargetMode="External"/><Relationship Id="rId105" Type="http://schemas.openxmlformats.org/officeDocument/2006/relationships/hyperlink" Target="https://2e.aonprd.com/Traits.aspx?ID=179" TargetMode="External"/><Relationship Id="rId126" Type="http://schemas.openxmlformats.org/officeDocument/2006/relationships/hyperlink" Target="https://2e.aonprd.com/Traits.aspx?ID=174" TargetMode="External"/><Relationship Id="rId147" Type="http://schemas.openxmlformats.org/officeDocument/2006/relationships/hyperlink" Target="https://2e.aonprd.com/Equipment.aspx?ID=62" TargetMode="External"/><Relationship Id="rId168" Type="http://schemas.openxmlformats.org/officeDocument/2006/relationships/hyperlink" Target="https://2e.aonprd.com/WeaponGroups.aspx?ID=5" TargetMode="External"/><Relationship Id="rId312" Type="http://schemas.openxmlformats.org/officeDocument/2006/relationships/hyperlink" Target="https://2e.aonprd.com/Equipment.aspx?ID=58" TargetMode="External"/><Relationship Id="rId333" Type="http://schemas.openxmlformats.org/officeDocument/2006/relationships/hyperlink" Target="https://2e.aonprd.com/Traits.aspx?ID=54" TargetMode="External"/><Relationship Id="rId354" Type="http://schemas.openxmlformats.org/officeDocument/2006/relationships/hyperlink" Target="https://2e.aonprd.com/Classes.aspx?ID=10" TargetMode="External"/><Relationship Id="rId51" Type="http://schemas.openxmlformats.org/officeDocument/2006/relationships/hyperlink" Target="https://2e.aonprd.com/Equipment.aspx?ID=60" TargetMode="External"/><Relationship Id="rId72" Type="http://schemas.openxmlformats.org/officeDocument/2006/relationships/hyperlink" Target="https://2e.aonprd.com/WeaponGroups.aspx?ID=4" TargetMode="External"/><Relationship Id="rId93" Type="http://schemas.openxmlformats.org/officeDocument/2006/relationships/hyperlink" Target="https://2e.aonprd.com/Traits.aspx?ID=200" TargetMode="External"/><Relationship Id="rId189" Type="http://schemas.openxmlformats.org/officeDocument/2006/relationships/hyperlink" Target="https://2e.aonprd.com/Equipment.aspx?ID=76" TargetMode="External"/><Relationship Id="rId375" Type="http://schemas.openxmlformats.org/officeDocument/2006/relationships/hyperlink" Target="https://2e.aonprd.com/Equipment.aspx?ID=1401" TargetMode="External"/><Relationship Id="rId3" Type="http://schemas.openxmlformats.org/officeDocument/2006/relationships/hyperlink" Target="https://www.myth-weavers.com/sheet.html" TargetMode="External"/><Relationship Id="rId214" Type="http://schemas.openxmlformats.org/officeDocument/2006/relationships/hyperlink" Target="https://2e.aonprd.com/Traits.aspx?ID=179" TargetMode="External"/><Relationship Id="rId235" Type="http://schemas.openxmlformats.org/officeDocument/2006/relationships/hyperlink" Target="https://2e.aonprd.com/Weapons.aspx?ID=82" TargetMode="External"/><Relationship Id="rId256" Type="http://schemas.openxmlformats.org/officeDocument/2006/relationships/hyperlink" Target="https://2e.aonprd.com/Equipment.aspx?ID=60" TargetMode="External"/><Relationship Id="rId277" Type="http://schemas.openxmlformats.org/officeDocument/2006/relationships/hyperlink" Target="https://2e.aonprd.com/Equipment.aspx?ID=12" TargetMode="External"/><Relationship Id="rId298" Type="http://schemas.openxmlformats.org/officeDocument/2006/relationships/hyperlink" Target="https://2e.aonprd.com/Traits.aspx?ID=170" TargetMode="External"/><Relationship Id="rId116" Type="http://schemas.openxmlformats.org/officeDocument/2006/relationships/hyperlink" Target="https://2e.aonprd.com/Traits.aspx?ID=174" TargetMode="External"/><Relationship Id="rId137" Type="http://schemas.openxmlformats.org/officeDocument/2006/relationships/hyperlink" Target="https://2e.aonprd.com/Weapons.aspx?ID=48" TargetMode="External"/><Relationship Id="rId158" Type="http://schemas.openxmlformats.org/officeDocument/2006/relationships/hyperlink" Target="https://2e.aonprd.com/Traits.aspx?ID=191" TargetMode="External"/><Relationship Id="rId302" Type="http://schemas.openxmlformats.org/officeDocument/2006/relationships/hyperlink" Target="https://2e.aonprd.com/Traits.aspx?ID=195" TargetMode="External"/><Relationship Id="rId323" Type="http://schemas.openxmlformats.org/officeDocument/2006/relationships/hyperlink" Target="https://2e.aonprd.com/Traits.aspx?ID=170" TargetMode="External"/><Relationship Id="rId344" Type="http://schemas.openxmlformats.org/officeDocument/2006/relationships/hyperlink" Target="https://2e.aonprd.com/WeaponGroups.aspx?ID=5" TargetMode="External"/><Relationship Id="rId20" Type="http://schemas.openxmlformats.org/officeDocument/2006/relationships/hyperlink" Target="https://2e.aonprd.com/Equipment.aspx?ID=60" TargetMode="External"/><Relationship Id="rId41" Type="http://schemas.openxmlformats.org/officeDocument/2006/relationships/hyperlink" Target="https://2e.aonprd.com/Equipment.aspx?ID=44" TargetMode="External"/><Relationship Id="rId62" Type="http://schemas.openxmlformats.org/officeDocument/2006/relationships/hyperlink" Target="https://2e.aonprd.com/Weapons.aspx?ID=62" TargetMode="External"/><Relationship Id="rId83" Type="http://schemas.openxmlformats.org/officeDocument/2006/relationships/hyperlink" Target="https://2e.aonprd.com/Traits.aspx?ID=188" TargetMode="External"/><Relationship Id="rId179" Type="http://schemas.openxmlformats.org/officeDocument/2006/relationships/hyperlink" Target="https://2e.aonprd.com/Traits.aspx?ID=200" TargetMode="External"/><Relationship Id="rId365" Type="http://schemas.openxmlformats.org/officeDocument/2006/relationships/hyperlink" Target="https://2e.aonprd.com/Equipment.aspx?ID=81" TargetMode="External"/><Relationship Id="rId386" Type="http://schemas.openxmlformats.org/officeDocument/2006/relationships/hyperlink" Target="https://2e.aonprd.com/WeaponGroups.aspx?ID=4" TargetMode="External"/><Relationship Id="rId190" Type="http://schemas.openxmlformats.org/officeDocument/2006/relationships/hyperlink" Target="https://2e.aonprd.com/Armor.aspx?ID=4" TargetMode="External"/><Relationship Id="rId204" Type="http://schemas.openxmlformats.org/officeDocument/2006/relationships/hyperlink" Target="https://2e.aonprd.com/Traits.aspx?ID=170" TargetMode="External"/><Relationship Id="rId225" Type="http://schemas.openxmlformats.org/officeDocument/2006/relationships/hyperlink" Target="https://2e.aonprd.com/Weapons.aspx?ID=81" TargetMode="External"/><Relationship Id="rId246" Type="http://schemas.openxmlformats.org/officeDocument/2006/relationships/hyperlink" Target="https://2e.aonprd.com/Equipment.aspx?ID=186" TargetMode="External"/><Relationship Id="rId267" Type="http://schemas.openxmlformats.org/officeDocument/2006/relationships/hyperlink" Target="https://2e.aonprd.com/Equipment.aspx?ID=4" TargetMode="External"/><Relationship Id="rId288" Type="http://schemas.openxmlformats.org/officeDocument/2006/relationships/hyperlink" Target="https://2e.aonprd.com/Equipment.aspx?ID=21" TargetMode="External"/><Relationship Id="rId106" Type="http://schemas.openxmlformats.org/officeDocument/2006/relationships/hyperlink" Target="https://2e.aonprd.com/Traits.aspx?ID=195" TargetMode="External"/><Relationship Id="rId127" Type="http://schemas.openxmlformats.org/officeDocument/2006/relationships/hyperlink" Target="https://2e.aonprd.com/Traits.aspx?ID=201" TargetMode="External"/><Relationship Id="rId313" Type="http://schemas.openxmlformats.org/officeDocument/2006/relationships/hyperlink" Target="https://2e.aonprd.com/Armor.aspx?ID=4" TargetMode="External"/><Relationship Id="rId10" Type="http://schemas.openxmlformats.org/officeDocument/2006/relationships/hyperlink" Target="https://2e.aonprd.com/ClassKits.aspx?ID=7" TargetMode="External"/><Relationship Id="rId31" Type="http://schemas.openxmlformats.org/officeDocument/2006/relationships/hyperlink" Target="https://2e.aonprd.com/Equipment.aspx?ID=7" TargetMode="External"/><Relationship Id="rId52" Type="http://schemas.openxmlformats.org/officeDocument/2006/relationships/hyperlink" Target="https://2e.aonprd.com/Equipment.aspx?ID=60" TargetMode="External"/><Relationship Id="rId73" Type="http://schemas.openxmlformats.org/officeDocument/2006/relationships/hyperlink" Target="https://2e.aonprd.com/Traits.aspx?ID=199" TargetMode="External"/><Relationship Id="rId94" Type="http://schemas.openxmlformats.org/officeDocument/2006/relationships/hyperlink" Target="https://2e.aonprd.com/Traits.aspx?ID=194" TargetMode="External"/><Relationship Id="rId148" Type="http://schemas.openxmlformats.org/officeDocument/2006/relationships/hyperlink" Target="https://2e.aonprd.com/Weapons.aspx?ID=3" TargetMode="External"/><Relationship Id="rId169" Type="http://schemas.openxmlformats.org/officeDocument/2006/relationships/hyperlink" Target="https://2e.aonprd.com/Weapons.aspx?ID=38" TargetMode="External"/><Relationship Id="rId334" Type="http://schemas.openxmlformats.org/officeDocument/2006/relationships/hyperlink" Target="https://2e.aonprd.com/WeaponGroups.aspx?ID=14" TargetMode="External"/><Relationship Id="rId355" Type="http://schemas.openxmlformats.org/officeDocument/2006/relationships/hyperlink" Target="https://2e.aonprd.com/Classes.aspx?ID=10" TargetMode="External"/><Relationship Id="rId376" Type="http://schemas.openxmlformats.org/officeDocument/2006/relationships/hyperlink" Target="https://2e.aonprd.com/Equipment.aspx?ID=182" TargetMode="External"/><Relationship Id="rId4" Type="http://schemas.openxmlformats.org/officeDocument/2006/relationships/hyperlink" Target="https://www.myth-weavers.com/sheet.html" TargetMode="External"/><Relationship Id="rId180" Type="http://schemas.openxmlformats.org/officeDocument/2006/relationships/hyperlink" Target="https://2e.aonprd.com/Armor.aspx?ID=4" TargetMode="External"/><Relationship Id="rId215" Type="http://schemas.openxmlformats.org/officeDocument/2006/relationships/hyperlink" Target="https://2e.aonprd.com/Traits.aspx?ID=179" TargetMode="External"/><Relationship Id="rId236" Type="http://schemas.openxmlformats.org/officeDocument/2006/relationships/hyperlink" Target="https://2e.aonprd.com/Equipment.aspx?ID=23" TargetMode="External"/><Relationship Id="rId257" Type="http://schemas.openxmlformats.org/officeDocument/2006/relationships/hyperlink" Target="https://2e.aonprd.com/Equipment.aspx?ID=62" TargetMode="External"/><Relationship Id="rId278" Type="http://schemas.openxmlformats.org/officeDocument/2006/relationships/hyperlink" Target="https://2e.aonprd.com/Equipment.aspx?ID=21" TargetMode="External"/><Relationship Id="rId303" Type="http://schemas.openxmlformats.org/officeDocument/2006/relationships/hyperlink" Target="https://2e.aonprd.com/Traits.aspx?ID=170" TargetMode="External"/><Relationship Id="rId42" Type="http://schemas.openxmlformats.org/officeDocument/2006/relationships/hyperlink" Target="https://2e.aonprd.com/Equipment.aspx?ID=44" TargetMode="External"/><Relationship Id="rId84" Type="http://schemas.openxmlformats.org/officeDocument/2006/relationships/hyperlink" Target="https://2e.aonprd.com/WeaponGroups.aspx?ID=4" TargetMode="External"/><Relationship Id="rId138" Type="http://schemas.openxmlformats.org/officeDocument/2006/relationships/hyperlink" Target="https://2e.aonprd.com/ClassKits.aspx?ID=3" TargetMode="External"/><Relationship Id="rId345" Type="http://schemas.openxmlformats.org/officeDocument/2006/relationships/hyperlink" Target="https://2e.aonprd.com/Traits.aspx?ID=195" TargetMode="External"/><Relationship Id="rId387" Type="http://schemas.openxmlformats.org/officeDocument/2006/relationships/hyperlink" Target="https://2e.aonprd.com/Traits.aspx?ID=181" TargetMode="External"/><Relationship Id="rId191" Type="http://schemas.openxmlformats.org/officeDocument/2006/relationships/hyperlink" Target="https://2e.aonprd.com/Equipment.aspx?ID=4" TargetMode="External"/><Relationship Id="rId205" Type="http://schemas.openxmlformats.org/officeDocument/2006/relationships/hyperlink" Target="https://2e.aonprd.com/Traits.aspx?ID=179" TargetMode="External"/><Relationship Id="rId247" Type="http://schemas.openxmlformats.org/officeDocument/2006/relationships/hyperlink" Target="https://2e.aonprd.com/Equipment.aspx?ID=89" TargetMode="External"/><Relationship Id="rId107" Type="http://schemas.openxmlformats.org/officeDocument/2006/relationships/hyperlink" Target="https://2e.aonprd.com/Traits.aspx?ID=170" TargetMode="External"/><Relationship Id="rId289" Type="http://schemas.openxmlformats.org/officeDocument/2006/relationships/hyperlink" Target="https://2e.aonprd.com/Equipment.aspx?ID=44" TargetMode="External"/><Relationship Id="rId11" Type="http://schemas.openxmlformats.org/officeDocument/2006/relationships/hyperlink" Target="https://2e.aonprd.com/ClassKits.aspx?ID=6" TargetMode="External"/><Relationship Id="rId53" Type="http://schemas.openxmlformats.org/officeDocument/2006/relationships/hyperlink" Target="https://2e.aonprd.com/Equipment.aspx?ID=62" TargetMode="External"/><Relationship Id="rId149" Type="http://schemas.openxmlformats.org/officeDocument/2006/relationships/hyperlink" Target="https://www.myth-weavers.com/sheet.html" TargetMode="External"/><Relationship Id="rId314" Type="http://schemas.openxmlformats.org/officeDocument/2006/relationships/hyperlink" Target="https://2e.aonprd.com/Weapons.aspx?ID=36" TargetMode="External"/><Relationship Id="rId356" Type="http://schemas.openxmlformats.org/officeDocument/2006/relationships/hyperlink" Target="https://2e.aonprd.com/Classes.aspx?ID=7" TargetMode="External"/><Relationship Id="rId95" Type="http://schemas.openxmlformats.org/officeDocument/2006/relationships/hyperlink" Target="https://2e.aonprd.com/Traits.aspx?ID=180" TargetMode="External"/><Relationship Id="rId160" Type="http://schemas.openxmlformats.org/officeDocument/2006/relationships/hyperlink" Target="https://2e.aonprd.com/Weapons.aspx?ID=5" TargetMode="External"/><Relationship Id="rId216" Type="http://schemas.openxmlformats.org/officeDocument/2006/relationships/hyperlink" Target="https://2e.aonprd.com/Traits.aspx?ID=179" TargetMode="External"/><Relationship Id="rId258" Type="http://schemas.openxmlformats.org/officeDocument/2006/relationships/hyperlink" Target="https://2e.aonprd.com/Equipment.aspx?ID=4" TargetMode="External"/><Relationship Id="rId22" Type="http://schemas.openxmlformats.org/officeDocument/2006/relationships/hyperlink" Target="https://2e.aonprd.com/Equipment.aspx?ID=4" TargetMode="External"/><Relationship Id="rId64" Type="http://schemas.openxmlformats.org/officeDocument/2006/relationships/hyperlink" Target="https://2e.aonprd.com/Weapons.aspx?ID=3" TargetMode="External"/><Relationship Id="rId118" Type="http://schemas.openxmlformats.org/officeDocument/2006/relationships/hyperlink" Target="https://2e.aonprd.com/WeaponGroups.aspx?ID=14" TargetMode="External"/><Relationship Id="rId325" Type="http://schemas.openxmlformats.org/officeDocument/2006/relationships/hyperlink" Target="https://2e.aonprd.com/WeaponGroups.aspx?ID=9" TargetMode="External"/><Relationship Id="rId367" Type="http://schemas.openxmlformats.org/officeDocument/2006/relationships/hyperlink" Target="https://2e.aonprd.com/Equipment.aspx?ID=81" TargetMode="External"/><Relationship Id="rId171" Type="http://schemas.openxmlformats.org/officeDocument/2006/relationships/hyperlink" Target="https://2e.aonprd.com/Weapons.aspx?ID=67" TargetMode="External"/><Relationship Id="rId227" Type="http://schemas.openxmlformats.org/officeDocument/2006/relationships/hyperlink" Target="https://2e.aonprd.com/Equipment.aspx?ID=33" TargetMode="External"/><Relationship Id="rId269" Type="http://schemas.openxmlformats.org/officeDocument/2006/relationships/hyperlink" Target="https://2e.aonprd.com/Equipment.aspx?ID=12" TargetMode="External"/><Relationship Id="rId33" Type="http://schemas.openxmlformats.org/officeDocument/2006/relationships/hyperlink" Target="https://2e.aonprd.com/Equipment.aspx?ID=12" TargetMode="External"/><Relationship Id="rId129" Type="http://schemas.openxmlformats.org/officeDocument/2006/relationships/hyperlink" Target="https://2e.aonprd.com/Equipment.aspx?ID=40" TargetMode="External"/><Relationship Id="rId280" Type="http://schemas.openxmlformats.org/officeDocument/2006/relationships/hyperlink" Target="https://2e.aonprd.com/Equipment.aspx?ID=40" TargetMode="External"/><Relationship Id="rId336" Type="http://schemas.openxmlformats.org/officeDocument/2006/relationships/hyperlink" Target="https://2e.aonprd.com/Traits.aspx?ID=198" TargetMode="External"/><Relationship Id="rId75" Type="http://schemas.openxmlformats.org/officeDocument/2006/relationships/hyperlink" Target="https://2e.aonprd.com/WeaponGroups.aspx?ID=4" TargetMode="External"/><Relationship Id="rId140" Type="http://schemas.openxmlformats.org/officeDocument/2006/relationships/hyperlink" Target="https://2e.aonprd.com/Equipment.aspx?ID=7" TargetMode="External"/><Relationship Id="rId182" Type="http://schemas.openxmlformats.org/officeDocument/2006/relationships/hyperlink" Target="https://2e.aonprd.com/Equipment.aspx?ID=86" TargetMode="External"/><Relationship Id="rId378" Type="http://schemas.openxmlformats.org/officeDocument/2006/relationships/hyperlink" Target="https://2e.aonprd.com/Equipment.aspx?ID=81" TargetMode="External"/><Relationship Id="rId6" Type="http://schemas.openxmlformats.org/officeDocument/2006/relationships/hyperlink" Target="https://www.myth-weavers.com/sheet.html" TargetMode="External"/><Relationship Id="rId238" Type="http://schemas.openxmlformats.org/officeDocument/2006/relationships/hyperlink" Target="https://2e.aonprd.com/Equipment.aspx?ID=58" TargetMode="External"/><Relationship Id="rId291" Type="http://schemas.openxmlformats.org/officeDocument/2006/relationships/hyperlink" Target="https://2e.aonprd.com/Equipment.aspx?ID=52" TargetMode="External"/><Relationship Id="rId305" Type="http://schemas.openxmlformats.org/officeDocument/2006/relationships/hyperlink" Target="https://2e.aonprd.com/ClassKits.aspx?ID=10" TargetMode="External"/><Relationship Id="rId347" Type="http://schemas.openxmlformats.org/officeDocument/2006/relationships/hyperlink" Target="https://2e.aonprd.com/Traits.aspx?ID=200" TargetMode="External"/><Relationship Id="rId44" Type="http://schemas.openxmlformats.org/officeDocument/2006/relationships/hyperlink" Target="https://2e.aonprd.com/Equipment.aspx?ID=40" TargetMode="External"/><Relationship Id="rId86" Type="http://schemas.openxmlformats.org/officeDocument/2006/relationships/hyperlink" Target="https://2e.aonprd.com/Traits.aspx?ID=188" TargetMode="External"/><Relationship Id="rId151" Type="http://schemas.openxmlformats.org/officeDocument/2006/relationships/hyperlink" Target="https://2e.aonprd.com/Traits.aspx?ID=200" TargetMode="External"/><Relationship Id="rId389" Type="http://schemas.openxmlformats.org/officeDocument/2006/relationships/printerSettings" Target="../printerSettings/printerSettings7.bin"/><Relationship Id="rId193" Type="http://schemas.openxmlformats.org/officeDocument/2006/relationships/hyperlink" Target="https://2e.aonprd.com/Equipment.aspx?ID=12" TargetMode="External"/><Relationship Id="rId207" Type="http://schemas.openxmlformats.org/officeDocument/2006/relationships/hyperlink" Target="https://2e.aonprd.com/Traits.aspx?ID=179" TargetMode="External"/><Relationship Id="rId249" Type="http://schemas.openxmlformats.org/officeDocument/2006/relationships/hyperlink" Target="https://2e.aonprd.com/Equipment.aspx?ID=4" TargetMode="External"/><Relationship Id="rId13" Type="http://schemas.openxmlformats.org/officeDocument/2006/relationships/hyperlink" Target="https://2e.aonprd.com/Equipment.aspx?ID=4" TargetMode="External"/><Relationship Id="rId109" Type="http://schemas.openxmlformats.org/officeDocument/2006/relationships/hyperlink" Target="https://2e.aonprd.com/Traits.aspx?ID=179" TargetMode="External"/><Relationship Id="rId260" Type="http://schemas.openxmlformats.org/officeDocument/2006/relationships/hyperlink" Target="https://2e.aonprd.com/Equipment.aspx?ID=12" TargetMode="External"/><Relationship Id="rId316" Type="http://schemas.openxmlformats.org/officeDocument/2006/relationships/hyperlink" Target="https://2e.aonprd.com/WeaponGroups.aspx?ID=15" TargetMode="External"/><Relationship Id="rId55" Type="http://schemas.openxmlformats.org/officeDocument/2006/relationships/hyperlink" Target="https://2e.aonprd.com/Equipment.aspx?ID=62" TargetMode="External"/><Relationship Id="rId97" Type="http://schemas.openxmlformats.org/officeDocument/2006/relationships/hyperlink" Target="https://2e.aonprd.com/Traits.aspx?ID=170" TargetMode="External"/><Relationship Id="rId120" Type="http://schemas.openxmlformats.org/officeDocument/2006/relationships/hyperlink" Target="https://2e.aonprd.com/WeaponGroups.aspx?ID=6" TargetMode="External"/><Relationship Id="rId358" Type="http://schemas.openxmlformats.org/officeDocument/2006/relationships/hyperlink" Target="https://2e.aonprd.com/Feats.aspx?ID=8" TargetMode="External"/><Relationship Id="rId162" Type="http://schemas.openxmlformats.org/officeDocument/2006/relationships/hyperlink" Target="https://2e.aonprd.com/Weapons.aspx?ID=19" TargetMode="External"/><Relationship Id="rId218" Type="http://schemas.openxmlformats.org/officeDocument/2006/relationships/hyperlink" Target="https://2e.aonprd.com/Equipment.aspx?ID=58" TargetMode="External"/><Relationship Id="rId271" Type="http://schemas.openxmlformats.org/officeDocument/2006/relationships/hyperlink" Target="https://2e.aonprd.com/Equipment.aspx?ID=44" TargetMode="External"/><Relationship Id="rId24" Type="http://schemas.openxmlformats.org/officeDocument/2006/relationships/hyperlink" Target="https://2e.aonprd.com/Equipment.aspx?ID=4" TargetMode="External"/><Relationship Id="rId66" Type="http://schemas.openxmlformats.org/officeDocument/2006/relationships/hyperlink" Target="https://2e.aonprd.com/Weapons.aspx?ID=76" TargetMode="External"/><Relationship Id="rId131" Type="http://schemas.openxmlformats.org/officeDocument/2006/relationships/hyperlink" Target="https://2e.aonprd.com/Equipment.aspx?ID=60" TargetMode="External"/><Relationship Id="rId327" Type="http://schemas.openxmlformats.org/officeDocument/2006/relationships/hyperlink" Target="https://2e.aonprd.com/Traits.aspx?ID=195" TargetMode="External"/><Relationship Id="rId369" Type="http://schemas.openxmlformats.org/officeDocument/2006/relationships/hyperlink" Target="https://2e.aonprd.com/Equipment.aspx?ID=91" TargetMode="External"/><Relationship Id="rId173" Type="http://schemas.openxmlformats.org/officeDocument/2006/relationships/hyperlink" Target="https://2e.aonprd.com/WeaponGroups.aspx?ID=5" TargetMode="External"/><Relationship Id="rId229" Type="http://schemas.openxmlformats.org/officeDocument/2006/relationships/hyperlink" Target="https://2e.aonprd.com/Equipment.aspx?ID=440" TargetMode="External"/><Relationship Id="rId380" Type="http://schemas.openxmlformats.org/officeDocument/2006/relationships/hyperlink" Target="https://2e.aonprd.com/Weapons.aspx?ID=72" TargetMode="External"/><Relationship Id="rId240" Type="http://schemas.openxmlformats.org/officeDocument/2006/relationships/hyperlink" Target="https://2e.aonprd.com/Equipment.aspx?ID=231" TargetMode="External"/><Relationship Id="rId35" Type="http://schemas.openxmlformats.org/officeDocument/2006/relationships/hyperlink" Target="https://2e.aonprd.com/Equipment.aspx?ID=21" TargetMode="External"/><Relationship Id="rId77" Type="http://schemas.openxmlformats.org/officeDocument/2006/relationships/hyperlink" Target="https://2e.aonprd.com/Traits.aspx?ID=188" TargetMode="External"/><Relationship Id="rId100" Type="http://schemas.openxmlformats.org/officeDocument/2006/relationships/hyperlink" Target="https://2e.aonprd.com/Traits.aspx?ID=179" TargetMode="External"/><Relationship Id="rId282" Type="http://schemas.openxmlformats.org/officeDocument/2006/relationships/hyperlink" Target="https://2e.aonprd.com/Equipment.aspx?ID=60" TargetMode="External"/><Relationship Id="rId338" Type="http://schemas.openxmlformats.org/officeDocument/2006/relationships/hyperlink" Target="https://2e.aonprd.com/Traits.aspx?ID=200" TargetMode="External"/><Relationship Id="rId8" Type="http://schemas.openxmlformats.org/officeDocument/2006/relationships/hyperlink" Target="https://2e.aonprd.com/ClassKits.aspx?ID=2" TargetMode="External"/><Relationship Id="rId142" Type="http://schemas.openxmlformats.org/officeDocument/2006/relationships/hyperlink" Target="https://2e.aonprd.com/Equipment.aspx?ID=21" TargetMode="External"/><Relationship Id="rId184" Type="http://schemas.openxmlformats.org/officeDocument/2006/relationships/hyperlink" Target="https://2e.aonprd.com/Equipment.aspx?ID=9" TargetMode="External"/><Relationship Id="rId251" Type="http://schemas.openxmlformats.org/officeDocument/2006/relationships/hyperlink" Target="https://2e.aonprd.com/Equipment.aspx?ID=12" TargetMode="External"/><Relationship Id="rId46" Type="http://schemas.openxmlformats.org/officeDocument/2006/relationships/hyperlink" Target="https://2e.aonprd.com/Equipment.aspx?ID=52" TargetMode="External"/><Relationship Id="rId293" Type="http://schemas.openxmlformats.org/officeDocument/2006/relationships/hyperlink" Target="https://2e.aonprd.com/Equipment.aspx?ID=62" TargetMode="External"/><Relationship Id="rId307" Type="http://schemas.openxmlformats.org/officeDocument/2006/relationships/hyperlink" Target="https://2e.aonprd.com/Traits.aspx?ID=199" TargetMode="External"/><Relationship Id="rId349" Type="http://schemas.openxmlformats.org/officeDocument/2006/relationships/hyperlink" Target="https://2e.aonprd.com/Equipment.aspx?ID=432" TargetMode="External"/><Relationship Id="rId88" Type="http://schemas.openxmlformats.org/officeDocument/2006/relationships/hyperlink" Target="https://2e.aonprd.com/WeaponGroups.aspx?ID=14" TargetMode="External"/><Relationship Id="rId111" Type="http://schemas.openxmlformats.org/officeDocument/2006/relationships/hyperlink" Target="https://2e.aonprd.com/Traits.aspx?ID=200" TargetMode="External"/><Relationship Id="rId153" Type="http://schemas.openxmlformats.org/officeDocument/2006/relationships/hyperlink" Target="https://2e.aonprd.com/Traits.aspx?ID=179" TargetMode="External"/><Relationship Id="rId195" Type="http://schemas.openxmlformats.org/officeDocument/2006/relationships/hyperlink" Target="https://2e.aonprd.com/Equipment.aspx?ID=44" TargetMode="External"/><Relationship Id="rId209" Type="http://schemas.openxmlformats.org/officeDocument/2006/relationships/hyperlink" Target="https://2e.aonprd.com/Traits.aspx?ID=170" TargetMode="External"/><Relationship Id="rId360" Type="http://schemas.openxmlformats.org/officeDocument/2006/relationships/hyperlink" Target="https://2e.aonprd.com/Equipment.aspx?ID=483" TargetMode="External"/><Relationship Id="rId220" Type="http://schemas.openxmlformats.org/officeDocument/2006/relationships/hyperlink" Target="https://2e.aonprd.com/Feats.aspx?ID=839" TargetMode="External"/><Relationship Id="rId15" Type="http://schemas.openxmlformats.org/officeDocument/2006/relationships/hyperlink" Target="https://2e.aonprd.com/Equipment.aspx?ID=12" TargetMode="External"/><Relationship Id="rId57" Type="http://schemas.openxmlformats.org/officeDocument/2006/relationships/hyperlink" Target="https://2e.aonprd.com/Equipment.aspx?ID=62" TargetMode="External"/><Relationship Id="rId262" Type="http://schemas.openxmlformats.org/officeDocument/2006/relationships/hyperlink" Target="https://2e.aonprd.com/Equipment.aspx?ID=44" TargetMode="External"/><Relationship Id="rId318" Type="http://schemas.openxmlformats.org/officeDocument/2006/relationships/hyperlink" Target="https://2e.aonprd.com/Traits.aspx?ID=175" TargetMode="External"/><Relationship Id="rId99" Type="http://schemas.openxmlformats.org/officeDocument/2006/relationships/hyperlink" Target="https://2e.aonprd.com/WeaponGroups.aspx?ID=9" TargetMode="External"/><Relationship Id="rId122" Type="http://schemas.openxmlformats.org/officeDocument/2006/relationships/hyperlink" Target="https://2e.aonprd.com/Traits.aspx?ID=199" TargetMode="External"/><Relationship Id="rId164" Type="http://schemas.openxmlformats.org/officeDocument/2006/relationships/hyperlink" Target="https://2e.aonprd.com/Weapons.aspx?ID=21" TargetMode="External"/><Relationship Id="rId371" Type="http://schemas.openxmlformats.org/officeDocument/2006/relationships/hyperlink" Target="https://2e.aonprd.com/Equipment.aspx?ID=25" TargetMode="External"/><Relationship Id="rId26" Type="http://schemas.openxmlformats.org/officeDocument/2006/relationships/hyperlink" Target="https://2e.aonprd.com/Equipment.aspx?ID=4" TargetMode="External"/><Relationship Id="rId231" Type="http://schemas.openxmlformats.org/officeDocument/2006/relationships/hyperlink" Target="https://2e.aonprd.com/Armor.aspx?ID=6" TargetMode="External"/><Relationship Id="rId273" Type="http://schemas.openxmlformats.org/officeDocument/2006/relationships/hyperlink" Target="https://2e.aonprd.com/Equipment.aspx?ID=52" TargetMode="External"/><Relationship Id="rId329" Type="http://schemas.openxmlformats.org/officeDocument/2006/relationships/hyperlink" Target="https://2e.aonprd.com/Weapons.aspx?ID=12" TargetMode="External"/><Relationship Id="rId68" Type="http://schemas.openxmlformats.org/officeDocument/2006/relationships/hyperlink" Target="https://2e.aonprd.com/WeaponGroups.aspx?ID=5" TargetMode="External"/><Relationship Id="rId133" Type="http://schemas.openxmlformats.org/officeDocument/2006/relationships/hyperlink" Target="https://2e.aonprd.com/Traits.aspx?ID=170" TargetMode="External"/><Relationship Id="rId175" Type="http://schemas.openxmlformats.org/officeDocument/2006/relationships/hyperlink" Target="https://2e.aonprd.com/WeaponGroups.aspx?ID=4" TargetMode="External"/><Relationship Id="rId340" Type="http://schemas.openxmlformats.org/officeDocument/2006/relationships/hyperlink" Target="https://2e.aonprd.com/Weapons.aspx?ID=36"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2e.aonprd.com/Traits.aspx?ID=9" TargetMode="External"/><Relationship Id="rId3" Type="http://schemas.openxmlformats.org/officeDocument/2006/relationships/hyperlink" Target="https://2e.aonprd.com/AnimalCompanions.aspx?ID=5" TargetMode="External"/><Relationship Id="rId7" Type="http://schemas.openxmlformats.org/officeDocument/2006/relationships/hyperlink" Target="https://2e.aonprd.com/Traits.aspx?ID=9" TargetMode="External"/><Relationship Id="rId12" Type="http://schemas.openxmlformats.org/officeDocument/2006/relationships/printerSettings" Target="../printerSettings/printerSettings8.bin"/><Relationship Id="rId2" Type="http://schemas.openxmlformats.org/officeDocument/2006/relationships/hyperlink" Target="https://www.myth-weavers.com/sheet.html" TargetMode="External"/><Relationship Id="rId1" Type="http://schemas.openxmlformats.org/officeDocument/2006/relationships/hyperlink" Target="https://www.myth-weavers.com/sheet.html" TargetMode="External"/><Relationship Id="rId6" Type="http://schemas.openxmlformats.org/officeDocument/2006/relationships/hyperlink" Target="https://2e.aonprd.com/Rules.aspx?ID=149" TargetMode="External"/><Relationship Id="rId11" Type="http://schemas.openxmlformats.org/officeDocument/2006/relationships/hyperlink" Target="https://2e.aonprd.com/Familiars.aspx?ID=4" TargetMode="External"/><Relationship Id="rId5" Type="http://schemas.openxmlformats.org/officeDocument/2006/relationships/hyperlink" Target="https://2e.aonprd.com/Rules.aspx?ID=160" TargetMode="External"/><Relationship Id="rId10" Type="http://schemas.openxmlformats.org/officeDocument/2006/relationships/hyperlink" Target="https://2e.aonprd.com/Familiars.aspx?ID=6" TargetMode="External"/><Relationship Id="rId4" Type="http://schemas.openxmlformats.org/officeDocument/2006/relationships/hyperlink" Target="https://2e.aonprd.com/Familiars.aspx" TargetMode="External"/><Relationship Id="rId9" Type="http://schemas.openxmlformats.org/officeDocument/2006/relationships/hyperlink" Target="https://2e.aonprd.com/Familiars.aspx?ID=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81E28-43B1-4983-93A2-1F578B23B611}">
  <dimension ref="A1:I37"/>
  <sheetViews>
    <sheetView showGridLines="0" workbookViewId="0">
      <pane xSplit="1" ySplit="1" topLeftCell="B2" activePane="bottomRight" state="frozen"/>
      <selection pane="topRight"/>
      <selection pane="bottomLeft"/>
      <selection pane="bottomRight" activeCell="E9" sqref="E9"/>
    </sheetView>
  </sheetViews>
  <sheetFormatPr baseColWidth="10" defaultRowHeight="15" x14ac:dyDescent="0.25"/>
  <cols>
    <col min="1" max="1" width="25.5703125" style="6" customWidth="1"/>
    <col min="2" max="3" width="25.5703125" customWidth="1"/>
    <col min="4" max="4" width="25.5703125" style="460" customWidth="1"/>
    <col min="5" max="8" width="25.5703125" customWidth="1"/>
    <col min="9" max="9" width="25.5703125" style="460" customWidth="1"/>
  </cols>
  <sheetData>
    <row r="1" spans="1:9" s="271" customFormat="1" x14ac:dyDescent="0.25">
      <c r="A1" s="185"/>
      <c r="B1" s="270" t="s">
        <v>168</v>
      </c>
      <c r="C1" s="270" t="s">
        <v>178</v>
      </c>
      <c r="D1" s="270" t="s">
        <v>658</v>
      </c>
      <c r="E1" s="270" t="s">
        <v>186</v>
      </c>
      <c r="F1" s="270" t="s">
        <v>188</v>
      </c>
      <c r="G1" s="270" t="s">
        <v>191</v>
      </c>
      <c r="H1" s="270" t="s">
        <v>199</v>
      </c>
      <c r="I1" s="270" t="s">
        <v>839</v>
      </c>
    </row>
    <row r="2" spans="1:9" x14ac:dyDescent="0.25">
      <c r="A2" s="184" t="s">
        <v>157</v>
      </c>
      <c r="B2" s="138" t="s">
        <v>154</v>
      </c>
      <c r="C2" s="138" t="s">
        <v>1025</v>
      </c>
      <c r="D2" s="186" t="s">
        <v>659</v>
      </c>
      <c r="E2" s="178" t="s">
        <v>266</v>
      </c>
      <c r="F2" s="178" t="s">
        <v>155</v>
      </c>
      <c r="G2" s="178" t="s">
        <v>204</v>
      </c>
      <c r="H2" s="138" t="s">
        <v>156</v>
      </c>
      <c r="I2" s="1142" t="s">
        <v>840</v>
      </c>
    </row>
    <row r="3" spans="1:9" x14ac:dyDescent="0.25">
      <c r="A3" s="185" t="s">
        <v>25</v>
      </c>
      <c r="B3" s="138" t="s">
        <v>169</v>
      </c>
      <c r="C3" s="142" t="s">
        <v>39</v>
      </c>
      <c r="D3" s="364" t="s">
        <v>660</v>
      </c>
      <c r="E3" s="142" t="s">
        <v>38</v>
      </c>
      <c r="F3" s="142" t="s">
        <v>189</v>
      </c>
      <c r="G3" s="142" t="s">
        <v>37</v>
      </c>
      <c r="H3" s="142" t="s">
        <v>120</v>
      </c>
      <c r="I3" s="142" t="s">
        <v>37</v>
      </c>
    </row>
    <row r="4" spans="1:9" x14ac:dyDescent="0.25">
      <c r="A4" s="185" t="s">
        <v>26</v>
      </c>
      <c r="B4" s="138" t="s">
        <v>36</v>
      </c>
      <c r="C4" s="142" t="s">
        <v>35</v>
      </c>
      <c r="D4" s="142" t="s">
        <v>33</v>
      </c>
      <c r="E4" s="138" t="s">
        <v>34</v>
      </c>
      <c r="F4" s="142" t="s">
        <v>35</v>
      </c>
      <c r="G4" s="142" t="s">
        <v>35</v>
      </c>
      <c r="H4" s="142" t="s">
        <v>33</v>
      </c>
      <c r="I4" s="138" t="s">
        <v>36</v>
      </c>
    </row>
    <row r="5" spans="1:9" x14ac:dyDescent="0.25">
      <c r="A5" s="185" t="s">
        <v>158</v>
      </c>
      <c r="B5" s="139" t="s">
        <v>170</v>
      </c>
      <c r="C5" s="139" t="s">
        <v>170</v>
      </c>
      <c r="D5" s="139" t="s">
        <v>662</v>
      </c>
      <c r="E5" s="139" t="s">
        <v>170</v>
      </c>
      <c r="F5" s="139" t="s">
        <v>170</v>
      </c>
      <c r="G5" s="139" t="s">
        <v>170</v>
      </c>
      <c r="H5" s="139" t="s">
        <v>170</v>
      </c>
      <c r="I5" s="139" t="s">
        <v>170</v>
      </c>
    </row>
    <row r="6" spans="1:9" x14ac:dyDescent="0.25">
      <c r="A6" s="185" t="s">
        <v>99</v>
      </c>
      <c r="B6" s="178" t="s">
        <v>237</v>
      </c>
      <c r="C6" s="178" t="s">
        <v>276</v>
      </c>
      <c r="D6" s="178" t="s">
        <v>661</v>
      </c>
      <c r="E6" s="178" t="s">
        <v>272</v>
      </c>
      <c r="F6" s="178" t="s">
        <v>748</v>
      </c>
      <c r="G6" s="141" t="s">
        <v>192</v>
      </c>
      <c r="H6" s="141" t="s">
        <v>420</v>
      </c>
      <c r="I6" s="178" t="s">
        <v>237</v>
      </c>
    </row>
    <row r="7" spans="1:9" x14ac:dyDescent="0.25">
      <c r="A7" s="185" t="s">
        <v>42</v>
      </c>
      <c r="B7" s="140" t="s">
        <v>171</v>
      </c>
      <c r="C7" s="140" t="s">
        <v>180</v>
      </c>
      <c r="D7" s="819" t="s">
        <v>673</v>
      </c>
      <c r="E7" s="221" t="s">
        <v>267</v>
      </c>
      <c r="F7" s="140" t="s">
        <v>190</v>
      </c>
      <c r="G7" s="140" t="s">
        <v>193</v>
      </c>
      <c r="H7" s="141" t="s">
        <v>97</v>
      </c>
      <c r="I7" s="178" t="s">
        <v>841</v>
      </c>
    </row>
    <row r="8" spans="1:9" x14ac:dyDescent="0.25">
      <c r="A8" s="185" t="s">
        <v>159</v>
      </c>
      <c r="B8" s="196" t="s">
        <v>172</v>
      </c>
      <c r="C8" s="196" t="s">
        <v>172</v>
      </c>
      <c r="D8" s="196" t="s">
        <v>678</v>
      </c>
      <c r="E8" s="137" t="s">
        <v>200</v>
      </c>
      <c r="F8" s="196" t="s">
        <v>172</v>
      </c>
      <c r="G8" s="196" t="s">
        <v>172</v>
      </c>
      <c r="H8" s="1023" t="s">
        <v>200</v>
      </c>
      <c r="I8" s="137" t="s">
        <v>842</v>
      </c>
    </row>
    <row r="9" spans="1:9" x14ac:dyDescent="0.25">
      <c r="A9" s="185" t="s">
        <v>93</v>
      </c>
      <c r="B9" s="178" t="s">
        <v>239</v>
      </c>
      <c r="C9" s="141" t="s">
        <v>181</v>
      </c>
      <c r="D9" s="245" t="s">
        <v>679</v>
      </c>
      <c r="E9" s="245" t="s">
        <v>268</v>
      </c>
      <c r="F9" s="178" t="s">
        <v>248</v>
      </c>
      <c r="G9" s="141" t="s">
        <v>94</v>
      </c>
      <c r="H9" s="178" t="s">
        <v>288</v>
      </c>
      <c r="I9" s="178" t="s">
        <v>857</v>
      </c>
    </row>
    <row r="10" spans="1:9" ht="30" x14ac:dyDescent="0.25">
      <c r="A10" s="185" t="s">
        <v>160</v>
      </c>
      <c r="B10" s="141" t="s">
        <v>173</v>
      </c>
      <c r="C10" s="228" t="s">
        <v>261</v>
      </c>
      <c r="D10" s="178" t="s">
        <v>680</v>
      </c>
      <c r="E10" s="178" t="s">
        <v>271</v>
      </c>
      <c r="F10" s="1024" t="s">
        <v>264</v>
      </c>
      <c r="G10" s="138" t="s">
        <v>194</v>
      </c>
      <c r="H10" s="137"/>
      <c r="I10" s="178" t="s">
        <v>846</v>
      </c>
    </row>
    <row r="11" spans="1:9" s="6" customFormat="1" ht="30" x14ac:dyDescent="0.25">
      <c r="A11" s="185" t="s">
        <v>160</v>
      </c>
      <c r="B11" s="141"/>
      <c r="C11" s="245" t="s">
        <v>274</v>
      </c>
      <c r="D11" s="245"/>
      <c r="E11" s="141"/>
      <c r="F11" s="178" t="s">
        <v>257</v>
      </c>
      <c r="G11" s="138"/>
      <c r="H11" s="137"/>
      <c r="I11" s="137"/>
    </row>
    <row r="12" spans="1:9" x14ac:dyDescent="0.25">
      <c r="A12" s="184" t="s">
        <v>433</v>
      </c>
      <c r="B12" s="139" t="s">
        <v>423</v>
      </c>
      <c r="C12" s="139" t="s">
        <v>423</v>
      </c>
      <c r="D12" s="139" t="s">
        <v>423</v>
      </c>
      <c r="E12" s="196" t="s">
        <v>423</v>
      </c>
      <c r="F12" s="139" t="s">
        <v>423</v>
      </c>
      <c r="G12" s="139" t="s">
        <v>423</v>
      </c>
      <c r="H12" s="139" t="s">
        <v>423</v>
      </c>
      <c r="I12" s="139" t="s">
        <v>423</v>
      </c>
    </row>
    <row r="13" spans="1:9" s="6" customFormat="1" x14ac:dyDescent="0.25">
      <c r="A13" s="184" t="s">
        <v>433</v>
      </c>
      <c r="B13" s="139" t="s">
        <v>36</v>
      </c>
      <c r="C13" s="139" t="s">
        <v>255</v>
      </c>
      <c r="D13" s="139" t="s">
        <v>430</v>
      </c>
      <c r="E13" s="196" t="s">
        <v>431</v>
      </c>
      <c r="F13" s="139" t="s">
        <v>255</v>
      </c>
      <c r="G13" s="139" t="s">
        <v>255</v>
      </c>
      <c r="H13" s="139" t="s">
        <v>432</v>
      </c>
      <c r="I13" s="139" t="s">
        <v>36</v>
      </c>
    </row>
    <row r="14" spans="1:9" s="6" customFormat="1" x14ac:dyDescent="0.25">
      <c r="A14" s="184" t="s">
        <v>433</v>
      </c>
      <c r="B14" s="139" t="s">
        <v>424</v>
      </c>
      <c r="C14" s="139" t="s">
        <v>426</v>
      </c>
      <c r="D14" s="139"/>
      <c r="E14" s="196" t="s">
        <v>430</v>
      </c>
      <c r="F14" s="139" t="s">
        <v>260</v>
      </c>
      <c r="G14" s="139" t="s">
        <v>260</v>
      </c>
      <c r="H14" s="139"/>
      <c r="I14" s="196" t="s">
        <v>854</v>
      </c>
    </row>
    <row r="15" spans="1:9" s="6" customFormat="1" x14ac:dyDescent="0.25">
      <c r="A15" s="184" t="s">
        <v>433</v>
      </c>
      <c r="B15" s="139" t="s">
        <v>425</v>
      </c>
      <c r="C15" s="139" t="s">
        <v>427</v>
      </c>
      <c r="D15" s="139"/>
      <c r="E15" s="196"/>
      <c r="F15" s="196"/>
      <c r="G15" s="139"/>
      <c r="H15" s="139"/>
      <c r="I15" s="196" t="s">
        <v>855</v>
      </c>
    </row>
    <row r="16" spans="1:9" s="6" customFormat="1" x14ac:dyDescent="0.25">
      <c r="A16" s="184" t="s">
        <v>433</v>
      </c>
      <c r="B16" s="139"/>
      <c r="C16" s="139" t="s">
        <v>428</v>
      </c>
      <c r="D16" s="139"/>
      <c r="E16" s="196"/>
      <c r="F16" s="196"/>
      <c r="G16" s="139"/>
      <c r="H16" s="139"/>
      <c r="I16" s="139"/>
    </row>
    <row r="17" spans="1:9" s="6" customFormat="1" x14ac:dyDescent="0.25">
      <c r="A17" s="184" t="s">
        <v>433</v>
      </c>
      <c r="B17" s="139"/>
      <c r="C17" s="139" t="s">
        <v>429</v>
      </c>
      <c r="D17" s="139"/>
      <c r="E17" s="196"/>
      <c r="F17" s="196"/>
      <c r="G17" s="139"/>
      <c r="H17" s="139"/>
      <c r="I17" s="139"/>
    </row>
    <row r="18" spans="1:9" x14ac:dyDescent="0.25">
      <c r="A18" s="184" t="s">
        <v>161</v>
      </c>
      <c r="B18" s="186" t="s">
        <v>247</v>
      </c>
      <c r="C18" s="186" t="s">
        <v>182</v>
      </c>
      <c r="D18" s="186"/>
      <c r="E18" s="186" t="s">
        <v>125</v>
      </c>
      <c r="F18" s="137"/>
      <c r="G18" s="137" t="s">
        <v>243</v>
      </c>
      <c r="H18" s="186" t="s">
        <v>242</v>
      </c>
      <c r="I18" s="137" t="s">
        <v>243</v>
      </c>
    </row>
    <row r="19" spans="1:9" s="6" customFormat="1" x14ac:dyDescent="0.25">
      <c r="A19" s="184"/>
      <c r="B19" s="186" t="s">
        <v>123</v>
      </c>
      <c r="C19" s="137"/>
      <c r="D19" s="137"/>
      <c r="E19" s="137"/>
      <c r="F19" s="137"/>
      <c r="G19" s="137" t="s">
        <v>244</v>
      </c>
      <c r="H19" s="186" t="s">
        <v>123</v>
      </c>
      <c r="I19" s="137" t="s">
        <v>244</v>
      </c>
    </row>
    <row r="20" spans="1:9" s="6" customFormat="1" ht="30" x14ac:dyDescent="0.25">
      <c r="A20" s="184"/>
      <c r="B20" s="137" t="s">
        <v>246</v>
      </c>
      <c r="C20" s="137"/>
      <c r="D20" s="137"/>
      <c r="E20" s="137"/>
      <c r="F20" s="137"/>
      <c r="G20" s="186" t="s">
        <v>245</v>
      </c>
      <c r="H20" s="137"/>
      <c r="I20" s="186" t="s">
        <v>847</v>
      </c>
    </row>
    <row r="21" spans="1:9" ht="180" x14ac:dyDescent="0.25">
      <c r="A21" s="184" t="s">
        <v>86</v>
      </c>
      <c r="B21" s="137" t="s">
        <v>174</v>
      </c>
      <c r="C21" s="137" t="s">
        <v>183</v>
      </c>
      <c r="D21" s="137" t="s">
        <v>670</v>
      </c>
      <c r="E21" s="137" t="s">
        <v>187</v>
      </c>
      <c r="F21" s="219" t="s">
        <v>249</v>
      </c>
      <c r="G21" s="137" t="s">
        <v>196</v>
      </c>
      <c r="H21" s="137" t="s">
        <v>201</v>
      </c>
      <c r="I21" s="137" t="s">
        <v>196</v>
      </c>
    </row>
    <row r="22" spans="1:9" ht="195" x14ac:dyDescent="0.25">
      <c r="A22" s="184" t="s">
        <v>162</v>
      </c>
      <c r="B22" s="196" t="s">
        <v>238</v>
      </c>
      <c r="C22" s="196" t="s">
        <v>232</v>
      </c>
      <c r="D22" s="196" t="s">
        <v>677</v>
      </c>
      <c r="E22" s="196" t="s">
        <v>277</v>
      </c>
      <c r="F22" s="196" t="s">
        <v>256</v>
      </c>
      <c r="G22" s="196" t="s">
        <v>233</v>
      </c>
      <c r="H22" s="256" t="s">
        <v>289</v>
      </c>
      <c r="I22" s="196" t="s">
        <v>856</v>
      </c>
    </row>
    <row r="23" spans="1:9" ht="30" x14ac:dyDescent="0.25">
      <c r="A23" s="184" t="s">
        <v>221</v>
      </c>
      <c r="B23" s="138" t="s">
        <v>175</v>
      </c>
      <c r="C23" s="186" t="s">
        <v>275</v>
      </c>
      <c r="D23" s="186" t="s">
        <v>666</v>
      </c>
      <c r="E23" s="137"/>
      <c r="F23" s="186" t="s">
        <v>258</v>
      </c>
      <c r="G23" s="141"/>
      <c r="H23" s="141"/>
      <c r="I23" s="141"/>
    </row>
    <row r="24" spans="1:9" s="6" customFormat="1" x14ac:dyDescent="0.25">
      <c r="A24" s="184" t="s">
        <v>220</v>
      </c>
      <c r="B24" s="138"/>
      <c r="C24" s="137"/>
      <c r="D24" s="137"/>
      <c r="E24" s="178" t="s">
        <v>269</v>
      </c>
      <c r="F24" s="137"/>
      <c r="G24" s="141" t="s">
        <v>121</v>
      </c>
      <c r="H24" s="141" t="s">
        <v>412</v>
      </c>
      <c r="I24" s="141" t="s">
        <v>121</v>
      </c>
    </row>
    <row r="25" spans="1:9" ht="30" x14ac:dyDescent="0.25">
      <c r="A25" s="184" t="s">
        <v>241</v>
      </c>
      <c r="B25" s="141" t="s">
        <v>215</v>
      </c>
      <c r="C25" s="141" t="s">
        <v>216</v>
      </c>
      <c r="D25" s="178" t="s">
        <v>675</v>
      </c>
      <c r="E25" s="178" t="s">
        <v>270</v>
      </c>
      <c r="F25" s="141" t="s">
        <v>217</v>
      </c>
      <c r="G25" s="186" t="s">
        <v>219</v>
      </c>
      <c r="H25" s="141" t="s">
        <v>217</v>
      </c>
      <c r="I25" s="178" t="s">
        <v>843</v>
      </c>
    </row>
    <row r="26" spans="1:9" s="6" customFormat="1" x14ac:dyDescent="0.25">
      <c r="A26" s="184" t="s">
        <v>214</v>
      </c>
      <c r="B26" s="141"/>
      <c r="C26" s="141"/>
      <c r="D26" s="141"/>
      <c r="E26" s="141"/>
      <c r="F26" s="141"/>
      <c r="G26" s="186" t="s">
        <v>218</v>
      </c>
      <c r="H26" s="141"/>
      <c r="I26" s="141"/>
    </row>
    <row r="27" spans="1:9" x14ac:dyDescent="0.25">
      <c r="A27" s="184" t="s">
        <v>26</v>
      </c>
      <c r="B27" s="137"/>
      <c r="C27" s="137"/>
      <c r="D27" s="137"/>
      <c r="E27" s="137" t="s">
        <v>213</v>
      </c>
      <c r="F27" s="137"/>
      <c r="G27" s="137"/>
      <c r="H27" s="137"/>
      <c r="I27" s="137"/>
    </row>
    <row r="28" spans="1:9" s="6" customFormat="1" x14ac:dyDescent="0.25">
      <c r="A28" s="184" t="s">
        <v>205</v>
      </c>
      <c r="B28" s="137" t="s">
        <v>207</v>
      </c>
      <c r="C28" s="137" t="s">
        <v>209</v>
      </c>
      <c r="D28" s="137" t="s">
        <v>209</v>
      </c>
      <c r="E28" s="137" t="s">
        <v>209</v>
      </c>
      <c r="F28" s="137" t="s">
        <v>209</v>
      </c>
      <c r="G28" s="137" t="s">
        <v>209</v>
      </c>
      <c r="H28" s="137" t="s">
        <v>209</v>
      </c>
      <c r="I28" s="137" t="s">
        <v>207</v>
      </c>
    </row>
    <row r="29" spans="1:9" s="6" customFormat="1" x14ac:dyDescent="0.25">
      <c r="A29" s="184" t="s">
        <v>206</v>
      </c>
      <c r="B29" s="137" t="s">
        <v>210</v>
      </c>
      <c r="C29" s="137" t="s">
        <v>211</v>
      </c>
      <c r="D29" s="137" t="s">
        <v>210</v>
      </c>
      <c r="E29" s="137" t="s">
        <v>212</v>
      </c>
      <c r="F29" s="137" t="s">
        <v>211</v>
      </c>
      <c r="G29" s="137" t="s">
        <v>211</v>
      </c>
      <c r="H29" s="137" t="s">
        <v>210</v>
      </c>
      <c r="I29" s="137" t="s">
        <v>210</v>
      </c>
    </row>
    <row r="30" spans="1:9" s="6" customFormat="1" x14ac:dyDescent="0.25">
      <c r="A30" s="622" t="s">
        <v>208</v>
      </c>
      <c r="B30" s="237" t="s">
        <v>646</v>
      </c>
      <c r="C30" s="237" t="s">
        <v>534</v>
      </c>
      <c r="D30" s="237" t="s">
        <v>534</v>
      </c>
      <c r="E30" s="237" t="s">
        <v>646</v>
      </c>
      <c r="F30" s="237" t="s">
        <v>534</v>
      </c>
      <c r="G30" s="237" t="s">
        <v>646</v>
      </c>
      <c r="H30" s="237" t="s">
        <v>647</v>
      </c>
      <c r="I30" s="237" t="s">
        <v>646</v>
      </c>
    </row>
    <row r="31" spans="1:9" s="460" customFormat="1" x14ac:dyDescent="0.25">
      <c r="A31" s="623" t="s">
        <v>645</v>
      </c>
      <c r="B31" s="624" t="s">
        <v>26</v>
      </c>
      <c r="C31" s="624" t="s">
        <v>26</v>
      </c>
      <c r="D31" s="820" t="s">
        <v>99</v>
      </c>
      <c r="E31" s="624" t="s">
        <v>26</v>
      </c>
      <c r="F31" s="624" t="s">
        <v>26</v>
      </c>
      <c r="G31" s="624" t="s">
        <v>99</v>
      </c>
      <c r="H31" s="624" t="s">
        <v>26</v>
      </c>
      <c r="I31" s="624" t="s">
        <v>26</v>
      </c>
    </row>
    <row r="32" spans="1:9" ht="30" x14ac:dyDescent="0.25">
      <c r="A32" s="184" t="s">
        <v>163</v>
      </c>
      <c r="B32" s="178" t="s">
        <v>240</v>
      </c>
      <c r="C32" s="178" t="s">
        <v>419</v>
      </c>
      <c r="D32" s="178" t="s">
        <v>676</v>
      </c>
      <c r="E32" s="178" t="s">
        <v>934</v>
      </c>
      <c r="F32" s="178" t="s">
        <v>252</v>
      </c>
      <c r="G32" s="138" t="s">
        <v>197</v>
      </c>
      <c r="H32" s="178" t="s">
        <v>287</v>
      </c>
      <c r="I32" s="178" t="s">
        <v>844</v>
      </c>
    </row>
    <row r="33" spans="1:9" x14ac:dyDescent="0.25">
      <c r="A33" s="184" t="s">
        <v>164</v>
      </c>
      <c r="B33" s="138" t="s">
        <v>176</v>
      </c>
      <c r="C33" s="138" t="s">
        <v>184</v>
      </c>
      <c r="D33" s="138"/>
      <c r="E33" s="141"/>
      <c r="F33" s="178" t="s">
        <v>259</v>
      </c>
      <c r="G33" s="137"/>
      <c r="H33" s="137"/>
      <c r="I33" s="137"/>
    </row>
    <row r="34" spans="1:9" ht="75" x14ac:dyDescent="0.25">
      <c r="A34" s="184" t="s">
        <v>167</v>
      </c>
      <c r="B34" s="139" t="s">
        <v>177</v>
      </c>
      <c r="C34" s="139" t="s">
        <v>185</v>
      </c>
      <c r="D34" s="139"/>
      <c r="E34" s="196" t="s">
        <v>278</v>
      </c>
      <c r="F34" s="196" t="s">
        <v>292</v>
      </c>
      <c r="G34" s="139" t="s">
        <v>198</v>
      </c>
      <c r="H34" s="139" t="s">
        <v>202</v>
      </c>
      <c r="I34" s="196" t="s">
        <v>845</v>
      </c>
    </row>
    <row r="35" spans="1:9" s="6" customFormat="1" x14ac:dyDescent="0.25">
      <c r="A35" s="184" t="s">
        <v>279</v>
      </c>
      <c r="B35" s="186" t="s">
        <v>283</v>
      </c>
      <c r="C35" s="186" t="s">
        <v>284</v>
      </c>
      <c r="D35" s="186" t="s">
        <v>671</v>
      </c>
      <c r="E35" s="228" t="s">
        <v>281</v>
      </c>
      <c r="F35" s="253" t="s">
        <v>282</v>
      </c>
      <c r="G35" s="253" t="s">
        <v>280</v>
      </c>
      <c r="H35" s="186" t="s">
        <v>285</v>
      </c>
      <c r="I35" s="253" t="s">
        <v>280</v>
      </c>
    </row>
    <row r="37" spans="1:9" ht="409.5" x14ac:dyDescent="0.25">
      <c r="A37" s="185" t="s">
        <v>830</v>
      </c>
      <c r="B37" s="1010" t="s">
        <v>834</v>
      </c>
      <c r="C37" s="1011" t="s">
        <v>655</v>
      </c>
      <c r="D37" s="1011" t="s">
        <v>655</v>
      </c>
      <c r="E37" s="1011" t="s">
        <v>655</v>
      </c>
      <c r="F37" s="1011" t="s">
        <v>655</v>
      </c>
      <c r="G37" s="1012" t="s">
        <v>195</v>
      </c>
      <c r="H37" s="1011" t="s">
        <v>655</v>
      </c>
      <c r="I37" s="1012" t="s">
        <v>859</v>
      </c>
    </row>
  </sheetData>
  <hyperlinks>
    <hyperlink ref="B4" r:id="rId1" display="https://2e.aonprd.com/Ancestries.aspx?ID=4" xr:uid="{11AC2231-815B-4742-8642-BBE2C0BC5AE0}"/>
    <hyperlink ref="B3" r:id="rId2" display="https://2e.aonprd.com/Classes.aspx?ID=6" xr:uid="{8A0D1863-507D-4828-8B82-B723D16E3027}"/>
    <hyperlink ref="C4" r:id="rId3" display="https://2e.aonprd.com/Ancestries.aspx?ID=2" xr:uid="{6E393C97-2773-4CCE-A89B-360A6ABDED3F}"/>
    <hyperlink ref="F4" r:id="rId4" display="https://2e.aonprd.com/Ancestries.aspx?ID=2" xr:uid="{1842D44F-C383-47BB-9507-8C127DB03592}"/>
    <hyperlink ref="G4" r:id="rId5" display="https://2e.aonprd.com/Ancestries.aspx?ID=2" xr:uid="{F4803104-A4A8-45B1-895D-7D5BB828B67C}"/>
    <hyperlink ref="H4" r:id="rId6" display="https://2e.aonprd.com/Ancestries.aspx?ID=6" xr:uid="{7EFC0208-C1EB-419C-B9C2-1FD23A548A5D}"/>
    <hyperlink ref="F7" r:id="rId7" display="https://2e.aonprd.com/Backgrounds.aspx?ID=42" xr:uid="{345D2086-D2C5-48AC-9249-88051AA64D55}"/>
    <hyperlink ref="C7" r:id="rId8" display="https://2e.aonprd.com/Backgrounds.aspx?ID=50" xr:uid="{9BE12C0E-1469-40BD-9262-6FA388C39772}"/>
    <hyperlink ref="B7" r:id="rId9" display="https://2e.aonprd.com/Backgrounds.aspx?ID=44" xr:uid="{CF7ACA71-1F05-4332-9562-D76027113F7E}"/>
    <hyperlink ref="G7" r:id="rId10" display="https://2e.aonprd.com/Backgrounds.aspx?ID=49" xr:uid="{2E322743-306F-4F10-A928-A5B089B06DBF}"/>
    <hyperlink ref="B2" r:id="rId11" location="id=2533415" xr:uid="{8D86B18D-36B7-4E5D-8ADA-7B5099239518}"/>
    <hyperlink ref="E3" r:id="rId12" display="https://2e.aonprd.com/Classes.aspx?ID=2" xr:uid="{C926BAE5-EC92-4CA3-A24E-B5B4B1E80A59}"/>
    <hyperlink ref="G3" r:id="rId13" display="https://2e.aonprd.com/Classes.aspx?ID=10" xr:uid="{27E7D43B-417A-42EA-B756-765994E6E201}"/>
    <hyperlink ref="H3" r:id="rId14" display="https://2e.aonprd.com/Classes.aspx?ID=7" xr:uid="{090B9192-68AC-47C8-8699-00538002C5E5}"/>
    <hyperlink ref="F3" r:id="rId15" display="https://2e.aonprd.com/Classes.aspx?ID=5" xr:uid="{24926171-3256-4D3E-A7D8-5F7092219322}"/>
    <hyperlink ref="C3" r:id="rId16" display="https://2e.aonprd.com/Classes.aspx?ID=12" xr:uid="{18D2D036-E81F-4E6A-9CF3-B4E7BCBF1F8D}"/>
    <hyperlink ref="E4" r:id="rId17" xr:uid="{89D31DCF-A227-47C6-9164-C13B2EB2F08D}"/>
    <hyperlink ref="C9" r:id="rId18" xr:uid="{2AD05BA7-A336-4E1C-96F6-0E669746308C}"/>
    <hyperlink ref="G6" r:id="rId19" xr:uid="{2D649ED2-4441-4C8E-81E0-71A9199CDC89}"/>
    <hyperlink ref="G10" r:id="rId20" xr:uid="{23D506D3-64CB-4C10-946A-D55D289FE0E5}"/>
    <hyperlink ref="B10" r:id="rId21" display="Order = ?" xr:uid="{467F3521-B4EA-4CA8-8236-5D6A81A1B1D7}"/>
    <hyperlink ref="B23" r:id="rId22" display="Order = Animal Companion" xr:uid="{1BFF2242-D8A6-42C6-93F9-DAB307AFEA77}"/>
    <hyperlink ref="B25" r:id="rId23" display="Background = Student of the Canon" xr:uid="{54A06220-D3C0-41CF-9502-64041D8CB14F}"/>
    <hyperlink ref="C33" r:id="rId24" xr:uid="{B99F5FCE-EE72-4340-A0F0-90BB35BC597F}"/>
    <hyperlink ref="C25" r:id="rId25" display="Background = ?" xr:uid="{447BDB04-36A0-4BAF-B064-4475BC3B1DC9}"/>
    <hyperlink ref="G9" r:id="rId26" xr:uid="{B61F460E-F5B5-47CF-BFEE-66F55ACA7A66}"/>
    <hyperlink ref="B33" r:id="rId27" xr:uid="{FC6658EB-E9F1-41F4-95BD-ABBA51265656}"/>
    <hyperlink ref="F25" r:id="rId28" display="Background = Int" xr:uid="{9C6F5705-FB7A-4A70-9588-FB05A52286B0}"/>
    <hyperlink ref="C10" r:id="rId29" display="https://2e.aonprd.com/ArcaneSchools.aspx?ID=4" xr:uid="{7D63737B-E09A-4C60-B0C7-783089E5B077}"/>
    <hyperlink ref="G32" r:id="rId30" xr:uid="{18101157-4FFD-4C05-9799-5F8AA20AD0C3}"/>
    <hyperlink ref="H2" r:id="rId31" location="id=2535463" xr:uid="{687B4AAB-EC4E-4D5D-AEC5-8B1EFEDE7CB3}"/>
    <hyperlink ref="H7" r:id="rId32" display="?" xr:uid="{D783EC20-282E-4BFA-8214-9E35C4204DF3}"/>
    <hyperlink ref="G2" r:id="rId33" location="id=2538135" xr:uid="{546204ED-BB7D-428A-9C63-CA7DD7C2D95C}"/>
    <hyperlink ref="H25" r:id="rId34" display="Background = Int" xr:uid="{945A666D-FA26-4B71-A664-F73F4A173026}"/>
    <hyperlink ref="G25" r:id="rId35" xr:uid="{85BD0EBF-69D1-4128-94EC-2D899FD94439}"/>
    <hyperlink ref="G26" r:id="rId36" xr:uid="{98760CE7-C02F-46B4-AB1E-1E07CDD8D2C3}"/>
    <hyperlink ref="B6" r:id="rId37" xr:uid="{B76A3060-B65E-481E-B04B-3EF82E843055}"/>
    <hyperlink ref="B9" r:id="rId38" xr:uid="{06B51B74-02F5-47DE-86D2-F92B4D074261}"/>
    <hyperlink ref="B32" r:id="rId39" xr:uid="{A61BE4B0-DDD8-4409-BC29-A49A4EFC5E8C}"/>
    <hyperlink ref="F2" r:id="rId40" location="id=2534175" xr:uid="{31329F04-AB94-4576-9B11-CDE9FF5C44F9}"/>
    <hyperlink ref="F6" r:id="rId41" xr:uid="{A01621F1-4AD9-4895-B269-DDCBCF40F602}"/>
    <hyperlink ref="F9" r:id="rId42" display="?" xr:uid="{A2695E67-4FCF-4D80-8DB1-D479D4E68826}"/>
    <hyperlink ref="F32" r:id="rId43" xr:uid="{C5CDE1D1-9FDD-43E0-BB9F-6194AE1F428E}"/>
    <hyperlink ref="F11" r:id="rId44" xr:uid="{317F5FED-1B46-4A89-9559-2C38AA7B0979}"/>
    <hyperlink ref="F23" r:id="rId45" xr:uid="{C478E050-5D01-475B-B33E-C125B2CCF9B9}"/>
    <hyperlink ref="F33" r:id="rId46" xr:uid="{AC7D0F51-3B16-43A3-B520-DE935D7D3D44}"/>
    <hyperlink ref="B19" r:id="rId47" xr:uid="{A4B34DF5-5BB3-4648-A4DE-354F17681000}"/>
    <hyperlink ref="H19" r:id="rId48" xr:uid="{0FB6DC01-0ACC-458D-AB82-A39927AA8C00}"/>
    <hyperlink ref="B18" r:id="rId49" xr:uid="{C895E4A4-84B8-46F3-8778-05356FB9472B}"/>
    <hyperlink ref="C18" r:id="rId50" xr:uid="{998BEB2A-FAAE-4E95-AA24-7CF8115A7A44}"/>
    <hyperlink ref="E18" r:id="rId51" xr:uid="{86C7D7F1-E763-413F-846E-01F86D1CC9E3}"/>
    <hyperlink ref="H18" r:id="rId52" xr:uid="{57E43BA6-60AA-45FA-80CE-3AF613EF6427}"/>
    <hyperlink ref="G20" r:id="rId53" xr:uid="{6266EC19-5FA3-4AC8-BDB4-E07AF3BBCB5A}"/>
    <hyperlink ref="G24" r:id="rId54" display="N1 = Nimble Dodge" xr:uid="{C4F6992A-E07E-4AC6-9119-6929394C9842}"/>
    <hyperlink ref="E2" r:id="rId55" location="id=2027709" xr:uid="{B6840A1D-4BE6-4663-876E-A5BD871ECD73}"/>
    <hyperlink ref="E7" r:id="rId56" xr:uid="{E18E8D2D-07EF-475C-AB0F-E9117F85D845}"/>
    <hyperlink ref="E9" r:id="rId57" xr:uid="{14934E5E-748A-49B2-BF22-530F03A07FCE}"/>
    <hyperlink ref="E24" r:id="rId58" xr:uid="{445F461E-6B9B-437F-A9D9-75845E78E65C}"/>
    <hyperlink ref="E25" r:id="rId59" xr:uid="{DADC9A1E-456C-4B9E-B732-19BA3E30255A}"/>
    <hyperlink ref="E6" r:id="rId60" xr:uid="{D49D9BC9-3BE4-4042-80C8-3D273FE90CE5}"/>
    <hyperlink ref="E10" r:id="rId61" xr:uid="{EF445340-5550-430A-A60A-EDC71B37A485}"/>
    <hyperlink ref="E32" r:id="rId62" xr:uid="{0874378B-8B5E-4D55-83A9-C56BBF1DA65B}"/>
    <hyperlink ref="C11" r:id="rId63" xr:uid="{140032CC-DF63-490D-8803-2A50EFF5EEA1}"/>
    <hyperlink ref="C23" r:id="rId64" xr:uid="{37FDB3E1-C977-47D0-B6EE-E2CC06D5F2E3}"/>
    <hyperlink ref="C6" r:id="rId65" xr:uid="{C0C25E6D-38EE-45B1-AAFF-DA44A57468DC}"/>
    <hyperlink ref="G35" r:id="rId66" display="xx" xr:uid="{093595A5-5418-4743-AA0D-8D08661B1A20}"/>
    <hyperlink ref="E35" r:id="rId67" display="xx" xr:uid="{89D6B31C-BD02-4B94-B870-5B22FB675445}"/>
    <hyperlink ref="F35" r:id="rId68" display="xx" xr:uid="{2438004B-3ECF-4EF5-B66E-A781D5349D79}"/>
    <hyperlink ref="H35" r:id="rId69" xr:uid="{F9A330D9-A13E-427D-9A74-04FF4504DE2B}"/>
    <hyperlink ref="B35" r:id="rId70" xr:uid="{1E76CE6C-515B-4078-AF56-D1ACD33CD586}"/>
    <hyperlink ref="C35" r:id="rId71" xr:uid="{6CC1314A-ADFF-4889-9140-FF8075F49413}"/>
    <hyperlink ref="H6" r:id="rId72" display="Versatile" xr:uid="{011C7436-145B-4BEE-93C9-429C1C5A37F2}"/>
    <hyperlink ref="H32" r:id="rId73" xr:uid="{C1D8948B-7C7C-41BE-8641-64799B3EED59}"/>
    <hyperlink ref="H24" r:id="rId74" xr:uid="{F91902B2-A11D-4AF0-B3BE-FB04188948C3}"/>
    <hyperlink ref="C32" r:id="rId75" xr:uid="{C7C00C72-52C5-4483-BD0A-FABF977EFAE3}"/>
    <hyperlink ref="H9" r:id="rId76" xr:uid="{6CDB9336-E782-4C2D-A7E4-B62AEA208F81}"/>
    <hyperlink ref="D6" r:id="rId77" xr:uid="{98205E28-7CAD-4AC8-ABF7-19DFDCA49D5D}"/>
    <hyperlink ref="D4" r:id="rId78" display="https://2e.aonprd.com/Ancestries.aspx?ID=6" xr:uid="{1EB7C9B8-216A-4C2A-B504-396ED6AF29BB}"/>
    <hyperlink ref="D3" r:id="rId79" xr:uid="{0E51966F-1902-47D2-9F4A-B4657FBA57C6}"/>
    <hyperlink ref="D35" r:id="rId80" xr:uid="{C5CC605B-762C-4742-A198-9FCAD4282EF1}"/>
    <hyperlink ref="D2" r:id="rId81" location="id=2544341" xr:uid="{E4774919-43DE-40B2-B382-241A85CFA656}"/>
    <hyperlink ref="D7" r:id="rId82" xr:uid="{CE9DC1BD-DD42-4F61-9A44-7F3E7BC9D4E3}"/>
    <hyperlink ref="D32" r:id="rId83" xr:uid="{D46EE7C1-5632-4133-BBAB-36FC7C5A3586}"/>
    <hyperlink ref="D25" r:id="rId84" xr:uid="{7E2AB4AC-988C-4B52-A828-4CE9FEDF2378}"/>
    <hyperlink ref="D9" r:id="rId85" xr:uid="{CE8839B0-DF0B-4C63-8B9F-96D56A6DC8AA}"/>
    <hyperlink ref="D10" r:id="rId86" display="Muse =" xr:uid="{41C20443-42FC-4440-A865-36C2B37A8F69}"/>
    <hyperlink ref="C2" r:id="rId87" location="id=2533454" display="Zabraarallongex" xr:uid="{D67887F6-55D3-43B5-9BD5-833B1FDF6DF8}"/>
    <hyperlink ref="D23" r:id="rId88" xr:uid="{C5C5D949-4F17-4D87-9CD4-0D7EFA39A2D6}"/>
    <hyperlink ref="I7" r:id="rId89" xr:uid="{411C268C-69D0-44D2-BB69-28B2DEEDCBE5}"/>
    <hyperlink ref="I3" r:id="rId90" display="https://2e.aonprd.com/Classes.aspx?ID=10" xr:uid="{ED0E488E-6C62-46B8-8930-12B0A66C754D}"/>
    <hyperlink ref="I4" r:id="rId91" display="https://2e.aonprd.com/Ancestries.aspx?ID=4" xr:uid="{736D6B5D-9410-498F-B90E-B06367C1A6BD}"/>
    <hyperlink ref="I6" r:id="rId92" xr:uid="{460FAE14-6A03-436C-B922-645CBF798D28}"/>
    <hyperlink ref="I20" r:id="rId93" display="Racket = Dex damage on finesse" xr:uid="{0CEA59AD-C1ED-42D6-A25F-421DFDEED79E}"/>
    <hyperlink ref="I35" r:id="rId94" display="xx" xr:uid="{E310640C-0B05-4B97-A2D5-FBE709DC0C40}"/>
    <hyperlink ref="I25" r:id="rId95" xr:uid="{29079898-2411-43A7-B300-AF201EC1A215}"/>
    <hyperlink ref="I32" r:id="rId96" xr:uid="{95BDA20E-ACA9-4CFF-A49D-46EC8464ACBA}"/>
    <hyperlink ref="I24" r:id="rId97" display="N1 = Nimble Dodge" xr:uid="{8BA7D8D4-CA6A-4B3E-B984-FDEE29A5A420}"/>
    <hyperlink ref="I10" r:id="rId98" xr:uid="{5EEE7877-DB40-4144-BEB1-856B94C3BF8C}"/>
    <hyperlink ref="I9" r:id="rId99" xr:uid="{C54CB6F5-7214-4339-9213-C51A4D89F5DA}"/>
    <hyperlink ref="I2" r:id="rId100" location="id=2561941" xr:uid="{3BB7B02A-4FAA-412A-8279-18E52492D2D0}"/>
  </hyperlinks>
  <pageMargins left="0.7" right="0.7" top="0.75" bottom="0.75" header="0.3" footer="0.3"/>
  <pageSetup paperSize="9" orientation="portrait" horizontalDpi="360" verticalDpi="360" r:id="rId10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924B-16A7-4CDC-8D45-3D3643969935}">
  <sheetPr>
    <pageSetUpPr fitToPage="1"/>
  </sheetPr>
  <dimension ref="A1:AI160"/>
  <sheetViews>
    <sheetView showGridLines="0" workbookViewId="0">
      <pane ySplit="2" topLeftCell="A3" activePane="bottomLeft" state="frozen"/>
      <selection activeCell="W11" sqref="W11"/>
      <selection pane="bottomLeft" activeCell="I54" sqref="I54"/>
    </sheetView>
  </sheetViews>
  <sheetFormatPr baseColWidth="10" defaultColWidth="5.7109375" defaultRowHeight="19.5" customHeight="1" outlineLevelRow="1" x14ac:dyDescent="0.25"/>
  <cols>
    <col min="1" max="22" width="5.7109375" style="436"/>
    <col min="23" max="23" width="7.5703125" style="436" bestFit="1" customWidth="1"/>
    <col min="24" max="16384" width="5.7109375" style="436"/>
  </cols>
  <sheetData>
    <row r="1" spans="1:29" ht="19.5" customHeight="1" x14ac:dyDescent="0.25">
      <c r="A1" s="629"/>
      <c r="B1" s="630" t="s">
        <v>487</v>
      </c>
      <c r="C1" s="631"/>
      <c r="D1" s="632" t="s">
        <v>154</v>
      </c>
      <c r="E1" s="631"/>
      <c r="F1" s="631"/>
      <c r="G1" s="630" t="s">
        <v>488</v>
      </c>
      <c r="H1" s="631"/>
      <c r="I1" s="631" t="str">
        <f>Création!B1</f>
        <v>Estelle</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Création!B3</f>
        <v>Druid</v>
      </c>
      <c r="E2" s="498"/>
      <c r="F2" s="498"/>
      <c r="G2" s="494" t="s">
        <v>26</v>
      </c>
      <c r="H2" s="498"/>
      <c r="I2" s="498" t="str">
        <f>Création!B6</f>
        <v>Razortooth Goblin</v>
      </c>
      <c r="J2" s="498"/>
      <c r="K2" s="498"/>
      <c r="L2" s="498"/>
      <c r="M2" s="907"/>
      <c r="N2" s="498"/>
      <c r="O2" s="498"/>
      <c r="P2" s="494" t="s">
        <v>42</v>
      </c>
      <c r="Q2" s="498"/>
      <c r="R2" s="498" t="str">
        <f>Création!B7</f>
        <v>Haunting Vision</v>
      </c>
      <c r="S2" s="498"/>
      <c r="T2" s="498"/>
      <c r="U2" s="498"/>
      <c r="V2" s="498"/>
      <c r="W2" s="498"/>
      <c r="X2" s="498"/>
      <c r="Y2" s="498"/>
      <c r="Z2" s="498"/>
      <c r="AA2" s="498"/>
      <c r="AB2" s="437"/>
      <c r="AC2" s="637"/>
    </row>
    <row r="3" spans="1:29" ht="19.5" customHeight="1" x14ac:dyDescent="0.3">
      <c r="A3" s="638"/>
      <c r="B3" s="438" t="s">
        <v>490</v>
      </c>
      <c r="C3" s="439"/>
      <c r="D3" s="440">
        <f>'Dés de vie'!B13</f>
        <v>5</v>
      </c>
      <c r="E3" s="439"/>
      <c r="F3" s="439"/>
      <c r="G3" s="438" t="s">
        <v>205</v>
      </c>
      <c r="H3" s="439"/>
      <c r="I3" s="439" t="str">
        <f>Création!B28</f>
        <v>Small</v>
      </c>
      <c r="J3" s="439"/>
      <c r="K3" s="438" t="s">
        <v>491</v>
      </c>
      <c r="L3" s="439"/>
      <c r="M3" s="439" t="str">
        <f>Création!B9</f>
        <v>Gozreh</v>
      </c>
      <c r="N3" s="439"/>
      <c r="O3" s="439"/>
      <c r="P3" s="438" t="s">
        <v>159</v>
      </c>
      <c r="Q3" s="439"/>
      <c r="R3" s="439" t="str">
        <f>Création!B8</f>
        <v>NG</v>
      </c>
      <c r="S3" s="439"/>
      <c r="T3" s="439"/>
      <c r="U3" s="439"/>
      <c r="V3" s="441"/>
      <c r="W3" s="441"/>
      <c r="X3" s="441"/>
      <c r="Y3" s="439"/>
      <c r="Z3" s="439"/>
      <c r="AA3" s="439"/>
      <c r="AB3" s="442"/>
      <c r="AC3" s="637"/>
    </row>
    <row r="4" spans="1:29" s="443" customFormat="1" ht="19.5" customHeight="1" x14ac:dyDescent="0.3">
      <c r="A4" s="639"/>
      <c r="B4" s="906" t="s">
        <v>492</v>
      </c>
      <c r="C4" s="906"/>
      <c r="D4" s="906"/>
      <c r="E4" s="906"/>
      <c r="F4" s="906"/>
      <c r="G4" s="906"/>
      <c r="H4" s="906"/>
      <c r="I4" s="1317" t="s">
        <v>493</v>
      </c>
      <c r="J4" s="1317"/>
      <c r="K4" s="906"/>
      <c r="L4" s="906"/>
      <c r="M4" s="641"/>
      <c r="N4" s="641"/>
      <c r="O4" s="641"/>
      <c r="P4" s="906"/>
      <c r="Q4" s="906"/>
      <c r="R4" s="906"/>
      <c r="S4" s="906"/>
      <c r="T4" s="906"/>
      <c r="U4" s="906"/>
      <c r="V4" s="641"/>
      <c r="W4" s="906" t="s">
        <v>494</v>
      </c>
      <c r="X4" s="906"/>
      <c r="Y4" s="906"/>
      <c r="Z4" s="906"/>
      <c r="AA4" s="906"/>
      <c r="AB4" s="906"/>
      <c r="AC4" s="642"/>
    </row>
    <row r="5" spans="1:29" ht="19.5" customHeight="1" x14ac:dyDescent="0.25">
      <c r="A5" s="636"/>
      <c r="B5" s="489" t="s">
        <v>79</v>
      </c>
      <c r="C5" s="489" t="s">
        <v>495</v>
      </c>
      <c r="D5" s="489" t="s">
        <v>496</v>
      </c>
      <c r="E5" s="489" t="s">
        <v>79</v>
      </c>
      <c r="F5" s="489" t="s">
        <v>495</v>
      </c>
      <c r="G5" s="489" t="s">
        <v>496</v>
      </c>
      <c r="H5" s="907"/>
      <c r="I5" s="782">
        <f>'Dés de vie'!B16</f>
        <v>46</v>
      </c>
      <c r="J5" s="1401"/>
      <c r="K5" s="498"/>
      <c r="L5" s="498"/>
      <c r="M5" s="494"/>
      <c r="N5" s="907"/>
      <c r="O5" s="907"/>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Stats!B2</f>
        <v>10</v>
      </c>
      <c r="D6" s="1385">
        <f>Stats!B11</f>
        <v>0</v>
      </c>
      <c r="E6" s="1386" t="s">
        <v>11</v>
      </c>
      <c r="F6" s="1385">
        <f>Stats!B3</f>
        <v>16</v>
      </c>
      <c r="G6" s="1387">
        <f>Stats!B12</f>
        <v>3</v>
      </c>
      <c r="H6" s="907"/>
      <c r="I6" s="906" t="s">
        <v>497</v>
      </c>
      <c r="J6" s="907"/>
      <c r="K6" s="907"/>
      <c r="L6" s="489"/>
      <c r="M6" s="907" t="s">
        <v>644</v>
      </c>
      <c r="N6" s="489"/>
      <c r="O6" s="907"/>
      <c r="P6" s="907"/>
      <c r="Q6" s="489" t="s">
        <v>324</v>
      </c>
      <c r="R6" s="907"/>
      <c r="S6" s="907"/>
      <c r="T6" s="489" t="s">
        <v>342</v>
      </c>
      <c r="U6" s="907"/>
      <c r="V6" s="489" t="s">
        <v>297</v>
      </c>
      <c r="W6" s="1395" t="str">
        <f>Skills!A137</f>
        <v>Simple weapons</v>
      </c>
      <c r="X6" s="1396"/>
      <c r="Y6" s="1396"/>
      <c r="Z6" s="1396"/>
      <c r="AA6" s="731" t="str">
        <f>Skills!B137</f>
        <v>Trained</v>
      </c>
      <c r="AB6" s="1397"/>
      <c r="AC6" s="637"/>
    </row>
    <row r="7" spans="1:29" ht="19.5" customHeight="1" x14ac:dyDescent="0.25">
      <c r="A7" s="643"/>
      <c r="B7" s="1388" t="s">
        <v>8</v>
      </c>
      <c r="C7" s="1389">
        <f>Stats!B4</f>
        <v>10</v>
      </c>
      <c r="D7" s="1389">
        <f>Stats!B13</f>
        <v>0</v>
      </c>
      <c r="E7" s="1368" t="s">
        <v>12</v>
      </c>
      <c r="F7" s="1389">
        <f>Stats!B5</f>
        <v>14</v>
      </c>
      <c r="G7" s="1390">
        <f>Stats!B14</f>
        <v>2</v>
      </c>
      <c r="H7" s="907"/>
      <c r="I7" s="1552" t="str">
        <f>'Equipment Combat'!B343</f>
        <v>22</v>
      </c>
      <c r="J7" s="1553"/>
      <c r="K7" s="1550" t="s">
        <v>498</v>
      </c>
      <c r="L7" s="1550"/>
      <c r="M7" s="1554" t="str">
        <f>IF('Equipment Combat'!B342="",'Equipment Combat'!B341,CONCATENATE("MIN(",'Equipment Combat'!B341,"/",'Equipment Combat'!B342,")"))</f>
        <v>MIN(3/4)</v>
      </c>
      <c r="N7" s="1554"/>
      <c r="O7" s="1320" t="s">
        <v>499</v>
      </c>
      <c r="P7" s="1320">
        <f>'Equipment Combat'!B340</f>
        <v>7</v>
      </c>
      <c r="Q7" s="774" t="str">
        <f>'Equipment Combat'!B338</f>
        <v>Trained</v>
      </c>
      <c r="R7" s="1320"/>
      <c r="S7" s="1320" t="s">
        <v>499</v>
      </c>
      <c r="T7" s="1320">
        <f>'Equipment Combat'!B335+'Equipment Combat'!B336</f>
        <v>2</v>
      </c>
      <c r="U7" s="775" t="s">
        <v>499</v>
      </c>
      <c r="V7" s="776">
        <f>'Equipment Combat'!B339</f>
        <v>0</v>
      </c>
      <c r="W7" s="1398" t="str">
        <f>Skills!A139</f>
        <v>Martial weapons</v>
      </c>
      <c r="X7" s="737"/>
      <c r="Y7" s="1399"/>
      <c r="Z7" s="1399"/>
      <c r="AA7" s="737" t="str">
        <f>Skills!B139</f>
        <v>Untrained</v>
      </c>
      <c r="AB7" s="1343"/>
      <c r="AC7" s="637"/>
    </row>
    <row r="8" spans="1:29" ht="19.5" customHeight="1" x14ac:dyDescent="0.3">
      <c r="A8" s="643"/>
      <c r="B8" s="1391" t="s">
        <v>13</v>
      </c>
      <c r="C8" s="1392">
        <f>Stats!B6</f>
        <v>18</v>
      </c>
      <c r="D8" s="1392">
        <f>Stats!B15</f>
        <v>4</v>
      </c>
      <c r="E8" s="1393" t="s">
        <v>14</v>
      </c>
      <c r="F8" s="1392">
        <f>Stats!B7</f>
        <v>18</v>
      </c>
      <c r="G8" s="1394">
        <f>Stats!B16</f>
        <v>4</v>
      </c>
      <c r="H8" s="907"/>
      <c r="I8" s="906" t="s">
        <v>84</v>
      </c>
      <c r="J8" s="907"/>
      <c r="K8" s="907"/>
      <c r="L8" s="907"/>
      <c r="M8" s="489" t="s">
        <v>324</v>
      </c>
      <c r="N8" s="907"/>
      <c r="O8" s="907"/>
      <c r="P8" s="907"/>
      <c r="Q8" s="489" t="s">
        <v>79</v>
      </c>
      <c r="R8" s="907"/>
      <c r="S8" s="1207" t="s">
        <v>979</v>
      </c>
      <c r="T8" s="907"/>
      <c r="U8" s="907"/>
      <c r="V8" s="907"/>
      <c r="W8" s="1398" t="str">
        <f>Skills!A141</f>
        <v>Advanced weapons</v>
      </c>
      <c r="X8" s="737"/>
      <c r="Y8" s="1399"/>
      <c r="Z8" s="1399"/>
      <c r="AA8" s="737" t="str">
        <f>Skills!B141</f>
        <v>Untrained</v>
      </c>
      <c r="AB8" s="1343"/>
      <c r="AC8" s="637"/>
    </row>
    <row r="9" spans="1:29" ht="19.5" customHeight="1" x14ac:dyDescent="0.25">
      <c r="A9" s="643"/>
      <c r="B9" s="907"/>
      <c r="C9" s="907"/>
      <c r="D9" s="907"/>
      <c r="E9" s="907"/>
      <c r="F9" s="907"/>
      <c r="G9" s="907"/>
      <c r="H9" s="907"/>
      <c r="I9" s="781">
        <f>Skills!B37</f>
        <v>14</v>
      </c>
      <c r="J9" s="1551" t="s">
        <v>498</v>
      </c>
      <c r="K9" s="1551"/>
      <c r="L9" s="777">
        <f>Skills!B206</f>
        <v>0</v>
      </c>
      <c r="M9" s="778" t="str">
        <f>Skills!B163</f>
        <v>Untrained</v>
      </c>
      <c r="N9" s="779"/>
      <c r="O9" s="777" t="s">
        <v>499</v>
      </c>
      <c r="P9" s="777">
        <f>Skills!B70</f>
        <v>4</v>
      </c>
      <c r="Q9" s="780" t="str">
        <f>Skills!B71</f>
        <v>WIS</v>
      </c>
      <c r="R9" s="907"/>
      <c r="S9" s="1556">
        <f>'Status courant'!B6</f>
        <v>1</v>
      </c>
      <c r="T9" s="1557"/>
      <c r="U9" s="1558"/>
      <c r="V9" s="907"/>
      <c r="W9" s="1398" t="str">
        <f>Skills!A143</f>
        <v>Alchemical bombs</v>
      </c>
      <c r="X9" s="737"/>
      <c r="Y9" s="1399"/>
      <c r="Z9" s="1399"/>
      <c r="AA9" s="737" t="str">
        <f>Skills!B143</f>
        <v>Untrained</v>
      </c>
      <c r="AB9" s="1343"/>
      <c r="AC9" s="637"/>
    </row>
    <row r="10" spans="1:29" ht="19.5" customHeight="1" x14ac:dyDescent="0.3">
      <c r="A10" s="643"/>
      <c r="B10" s="906" t="s">
        <v>500</v>
      </c>
      <c r="C10" s="906"/>
      <c r="D10" s="907"/>
      <c r="E10" s="907"/>
      <c r="F10" s="907"/>
      <c r="G10" s="907"/>
      <c r="H10" s="907"/>
      <c r="I10" s="907"/>
      <c r="J10" s="907"/>
      <c r="K10" s="907"/>
      <c r="L10" s="907"/>
      <c r="M10" s="907"/>
      <c r="N10" s="907"/>
      <c r="O10" s="907"/>
      <c r="P10" s="907"/>
      <c r="Q10" s="907"/>
      <c r="R10" s="907"/>
      <c r="S10" s="907"/>
      <c r="T10" s="907"/>
      <c r="U10" s="907"/>
      <c r="V10" s="907"/>
      <c r="W10" s="1398" t="str">
        <f>Skills!A145</f>
        <v>Unarmed attacks</v>
      </c>
      <c r="X10" s="737"/>
      <c r="Y10" s="1399"/>
      <c r="Z10" s="1399"/>
      <c r="AA10" s="737" t="str">
        <f>Skills!B145</f>
        <v>Trained</v>
      </c>
      <c r="AB10" s="1343"/>
      <c r="AC10" s="637"/>
    </row>
    <row r="11" spans="1:29" ht="19.5" customHeight="1" x14ac:dyDescent="0.25">
      <c r="A11" s="643"/>
      <c r="B11" s="907"/>
      <c r="C11" s="489" t="s">
        <v>7</v>
      </c>
      <c r="D11" s="489"/>
      <c r="E11" s="489" t="s">
        <v>79</v>
      </c>
      <c r="F11" s="489"/>
      <c r="G11" s="489"/>
      <c r="H11" s="489" t="s">
        <v>324</v>
      </c>
      <c r="I11" s="489"/>
      <c r="J11" s="489"/>
      <c r="K11" s="489" t="s">
        <v>342</v>
      </c>
      <c r="L11" s="907"/>
      <c r="M11" s="907"/>
      <c r="N11" s="907"/>
      <c r="O11" s="907"/>
      <c r="P11" s="907"/>
      <c r="Q11" s="498" t="s">
        <v>648</v>
      </c>
      <c r="R11" s="907"/>
      <c r="S11" s="907"/>
      <c r="T11" s="907"/>
      <c r="U11" s="907"/>
      <c r="V11" s="907"/>
      <c r="W11" s="1398" t="str">
        <f>IF(Skills!B$148="",Skills!A$147,Skills!B$148)</f>
        <v>Specific weapons</v>
      </c>
      <c r="X11" s="737"/>
      <c r="Y11" s="1399"/>
      <c r="Z11" s="1399"/>
      <c r="AA11" s="737" t="str">
        <f>Skills!B147</f>
        <v>Untrained</v>
      </c>
      <c r="AB11" s="1343"/>
      <c r="AC11" s="637"/>
    </row>
    <row r="12" spans="1:29" ht="19.5" customHeight="1" x14ac:dyDescent="0.3">
      <c r="A12" s="643"/>
      <c r="B12" s="1368" t="s">
        <v>501</v>
      </c>
      <c r="C12" s="1369">
        <f>Skills!B4</f>
        <v>9</v>
      </c>
      <c r="D12" s="1370" t="s">
        <v>502</v>
      </c>
      <c r="E12" s="1371">
        <f>Skills!B45</f>
        <v>0</v>
      </c>
      <c r="F12" s="1370" t="s">
        <v>499</v>
      </c>
      <c r="G12" s="1371">
        <f>Skills!B172</f>
        <v>9</v>
      </c>
      <c r="H12" s="1372" t="str">
        <f>Skills!B78</f>
        <v>Expert</v>
      </c>
      <c r="I12" s="1372"/>
      <c r="J12" s="1370" t="s">
        <v>499</v>
      </c>
      <c r="K12" s="1373"/>
      <c r="L12" s="907"/>
      <c r="M12" s="906" t="s">
        <v>206</v>
      </c>
      <c r="N12" s="907"/>
      <c r="O12" s="907"/>
      <c r="P12" s="907"/>
      <c r="Q12" s="1384" t="s">
        <v>504</v>
      </c>
      <c r="R12" s="1402"/>
      <c r="S12" s="1387">
        <f>C15</f>
        <v>13</v>
      </c>
      <c r="T12" s="907"/>
      <c r="U12" s="907"/>
      <c r="V12" s="907"/>
      <c r="W12" s="1398" t="str">
        <f>IF(Skills!B$150="","",Skills!B$151)</f>
        <v/>
      </c>
      <c r="X12" s="737"/>
      <c r="Y12" s="1399"/>
      <c r="Z12" s="1399"/>
      <c r="AA12" s="737" t="str">
        <f>IF(Skills!B$150="","",Skills!B$150)</f>
        <v/>
      </c>
      <c r="AB12" s="1343"/>
      <c r="AC12" s="637"/>
    </row>
    <row r="13" spans="1:29" ht="19.5" customHeight="1" x14ac:dyDescent="0.25">
      <c r="A13" s="643"/>
      <c r="B13" s="1368" t="s">
        <v>528</v>
      </c>
      <c r="C13" s="1374">
        <f>Skills!B5</f>
        <v>12</v>
      </c>
      <c r="D13" s="1375" t="s">
        <v>502</v>
      </c>
      <c r="E13" s="1376">
        <f>Skills!B46</f>
        <v>3</v>
      </c>
      <c r="F13" s="1375" t="s">
        <v>499</v>
      </c>
      <c r="G13" s="1376">
        <f>Skills!B173</f>
        <v>9</v>
      </c>
      <c r="H13" s="1377" t="str">
        <f>Skills!B80</f>
        <v>Expert</v>
      </c>
      <c r="I13" s="1377"/>
      <c r="J13" s="1375" t="s">
        <v>499</v>
      </c>
      <c r="K13" s="1378"/>
      <c r="L13" s="907"/>
      <c r="M13" s="721" t="str">
        <f>Skills!B309&amp;"'"</f>
        <v>25'</v>
      </c>
      <c r="N13" s="907"/>
      <c r="O13" s="907"/>
      <c r="P13" s="907"/>
      <c r="Q13" s="1403" t="s">
        <v>23</v>
      </c>
      <c r="R13" s="1404"/>
      <c r="S13" s="1390">
        <f>R29</f>
        <v>3</v>
      </c>
      <c r="T13" s="907"/>
      <c r="U13" s="907"/>
      <c r="V13" s="907"/>
      <c r="W13" s="1398" t="str">
        <f>Skills!A154</f>
        <v>Light armor</v>
      </c>
      <c r="X13" s="737"/>
      <c r="Y13" s="1399"/>
      <c r="Z13" s="1399"/>
      <c r="AA13" s="737" t="str">
        <f>Skills!B154</f>
        <v>Trained</v>
      </c>
      <c r="AB13" s="1343"/>
      <c r="AC13" s="637"/>
    </row>
    <row r="14" spans="1:29" ht="19.5" customHeight="1" x14ac:dyDescent="0.3">
      <c r="A14" s="643"/>
      <c r="B14" s="1368" t="s">
        <v>503</v>
      </c>
      <c r="C14" s="1374">
        <f>Skills!B6</f>
        <v>13</v>
      </c>
      <c r="D14" s="1375" t="s">
        <v>502</v>
      </c>
      <c r="E14" s="1376">
        <f>Skills!B47</f>
        <v>4</v>
      </c>
      <c r="F14" s="1375" t="s">
        <v>499</v>
      </c>
      <c r="G14" s="1376">
        <f>Skills!B174</f>
        <v>9</v>
      </c>
      <c r="H14" s="1377" t="str">
        <f>Skills!B82</f>
        <v>Expert</v>
      </c>
      <c r="I14" s="1377"/>
      <c r="J14" s="1375" t="s">
        <v>499</v>
      </c>
      <c r="K14" s="1378"/>
      <c r="L14" s="907"/>
      <c r="M14" s="907"/>
      <c r="N14" s="644"/>
      <c r="O14" s="644"/>
      <c r="P14" s="907"/>
      <c r="Q14" s="1403" t="s">
        <v>54</v>
      </c>
      <c r="R14" s="1404"/>
      <c r="S14" s="1390">
        <f>D30</f>
        <v>4</v>
      </c>
      <c r="T14" s="907"/>
      <c r="U14" s="454"/>
      <c r="V14" s="454"/>
      <c r="W14" s="1398" t="str">
        <f>Skills!A156</f>
        <v>Medium armor</v>
      </c>
      <c r="X14" s="737"/>
      <c r="Y14" s="737"/>
      <c r="Z14" s="737"/>
      <c r="AA14" s="737" t="str">
        <f>Skills!B156</f>
        <v>Trained</v>
      </c>
      <c r="AB14" s="1343"/>
      <c r="AC14" s="637"/>
    </row>
    <row r="15" spans="1:29" ht="19.5" customHeight="1" x14ac:dyDescent="0.3">
      <c r="A15" s="643"/>
      <c r="B15" s="1368" t="s">
        <v>504</v>
      </c>
      <c r="C15" s="1379">
        <f>Skills!B2</f>
        <v>13</v>
      </c>
      <c r="D15" s="1380" t="s">
        <v>502</v>
      </c>
      <c r="E15" s="1381">
        <f>Skills!B42</f>
        <v>4</v>
      </c>
      <c r="F15" s="1380" t="s">
        <v>499</v>
      </c>
      <c r="G15" s="1381">
        <f>Skills!B171</f>
        <v>9</v>
      </c>
      <c r="H15" s="1382" t="str">
        <f>Skills!B75</f>
        <v>Expert</v>
      </c>
      <c r="I15" s="1382"/>
      <c r="J15" s="1380" t="s">
        <v>499</v>
      </c>
      <c r="K15" s="1383"/>
      <c r="L15" s="498" t="str">
        <f>CONCATENATE(" &lt;&lt; ",Feats!B6)</f>
        <v xml:space="preserve"> &lt;&lt; Darkvision</v>
      </c>
      <c r="M15" s="644"/>
      <c r="N15" s="644"/>
      <c r="O15" s="644"/>
      <c r="P15" s="907"/>
      <c r="Q15" s="1405" t="s">
        <v>21</v>
      </c>
      <c r="R15" s="1406"/>
      <c r="S15" s="1394">
        <f>D31</f>
        <v>11</v>
      </c>
      <c r="T15" s="454"/>
      <c r="U15" s="454"/>
      <c r="V15" s="454"/>
      <c r="W15" s="1398" t="str">
        <f>Skills!A158</f>
        <v>Heavy armor</v>
      </c>
      <c r="X15" s="737"/>
      <c r="Y15" s="737"/>
      <c r="Z15" s="737"/>
      <c r="AA15" s="737" t="str">
        <f>Skills!B158</f>
        <v>Untrained</v>
      </c>
      <c r="AB15" s="1343"/>
      <c r="AC15" s="637"/>
    </row>
    <row r="16" spans="1:29" ht="19.5" customHeight="1" x14ac:dyDescent="0.3">
      <c r="A16" s="643"/>
      <c r="B16" s="644" t="s">
        <v>550</v>
      </c>
      <c r="C16" s="644"/>
      <c r="D16" s="645"/>
      <c r="E16" s="645"/>
      <c r="F16" s="454"/>
      <c r="G16" s="454"/>
      <c r="H16" s="454"/>
      <c r="I16" s="907"/>
      <c r="J16" s="907"/>
      <c r="K16" s="907"/>
      <c r="L16" s="907"/>
      <c r="M16" s="907"/>
      <c r="N16" s="644"/>
      <c r="O16" s="644"/>
      <c r="P16" s="1200"/>
      <c r="Q16" s="1200"/>
      <c r="R16" s="1200"/>
      <c r="S16" s="1200"/>
      <c r="T16" s="1200"/>
      <c r="U16" s="907"/>
      <c r="V16" s="907"/>
      <c r="W16" s="1400" t="str">
        <f>Skills!A160</f>
        <v>Unarmored defense</v>
      </c>
      <c r="X16" s="1345"/>
      <c r="Y16" s="1345"/>
      <c r="Z16" s="1345"/>
      <c r="AA16" s="1345" t="str">
        <f>Skills!B163</f>
        <v>Untrained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ht="19.5" customHeight="1" x14ac:dyDescent="0.25">
      <c r="A18" s="643"/>
      <c r="B18" s="764" t="str">
        <f>'Equipment Combat'!B349</f>
        <v>Jaws</v>
      </c>
      <c r="C18" s="765"/>
      <c r="D18" s="765"/>
      <c r="E18" s="1559" t="str">
        <f>'Equipment Combat'!B364</f>
        <v>10/5/0</v>
      </c>
      <c r="F18" s="1559"/>
      <c r="G18" s="748" t="str">
        <f>"= "&amp;'Equipment Combat'!B367</f>
        <v>= 3</v>
      </c>
      <c r="H18" s="747" t="str">
        <f>'Equipment Combat'!B365</f>
        <v>STR/DEX</v>
      </c>
      <c r="I18" s="747"/>
      <c r="J18" s="748" t="str">
        <f>"+ "&amp;'Equipment Combat'!B368</f>
        <v>+ 7</v>
      </c>
      <c r="K18" s="747" t="str">
        <f>'Equipment Combat'!B366</f>
        <v>Trained</v>
      </c>
      <c r="L18" s="747"/>
      <c r="M18" s="1350">
        <f>'Equipment Combat'!B369</f>
        <v>0</v>
      </c>
      <c r="N18" s="457" t="s">
        <v>505</v>
      </c>
      <c r="O18" s="1560" t="str">
        <f>CONCATENATE('Equipment Combat'!B375,'Equipment Combat'!B357)</f>
        <v>1d6</v>
      </c>
      <c r="P18" s="1561"/>
      <c r="Q18" s="1321" t="str">
        <f>"+"&amp;'Equipment Combat'!B374</f>
        <v>+0</v>
      </c>
      <c r="R18" s="752" t="str">
        <f>'Equipment Combat'!B373</f>
        <v>STR</v>
      </c>
      <c r="S18" s="1351" t="str">
        <f>'Equipment Combat'!B358</f>
        <v>Piercing</v>
      </c>
      <c r="T18" s="1352" t="str">
        <f>'Equipment Combat'!B363</f>
        <v>Brawling</v>
      </c>
      <c r="U18" s="1353"/>
      <c r="V18" s="1352" t="str">
        <f>'Equipment Combat'!B351&amp;IF('Equipment Combat'!B352="-","",", "&amp;'Equipment Combat'!B352)&amp;IF('Equipment Combat'!B353="-","",", "&amp;'Equipment Combat'!B353)&amp;IF('Equipment Combat'!B354="-","",", "&amp;'Equipment Combat'!B354)&amp;IF('Equipment Combat'!B355="-","",", "&amp;'Equipment Combat'!B355)&amp;IF('Equipment Combat'!B360="-","",", "&amp;'Equipment Combat'!B360)&amp;IF('Equipment Combat'!B361="-","",", "&amp;'Equipment Combat'!B361)</f>
        <v>Unarmed, Finesse</v>
      </c>
      <c r="W18" s="1354"/>
      <c r="X18" s="1354"/>
      <c r="Y18" s="1354"/>
      <c r="Z18" s="1354"/>
      <c r="AA18" s="1354"/>
      <c r="AB18" s="1353"/>
      <c r="AC18" s="637"/>
    </row>
    <row r="19" spans="1:29" ht="19.5" customHeight="1" x14ac:dyDescent="0.25">
      <c r="A19" s="643"/>
      <c r="B19" s="766" t="str">
        <f>'Equipment Combat'!B376</f>
        <v>Longspear</v>
      </c>
      <c r="C19" s="767"/>
      <c r="D19" s="767"/>
      <c r="E19" s="1534" t="str">
        <f>'Equipment Combat'!B391</f>
        <v>7/2/-3</v>
      </c>
      <c r="F19" s="1534"/>
      <c r="G19" s="750" t="str">
        <f>"= "&amp;'Equipment Combat'!B394</f>
        <v>= 0</v>
      </c>
      <c r="H19" s="749" t="str">
        <f>'Equipment Combat'!B392</f>
        <v>STR</v>
      </c>
      <c r="I19" s="749"/>
      <c r="J19" s="750" t="str">
        <f>"+ "&amp;'Equipment Combat'!B395</f>
        <v>+ 7</v>
      </c>
      <c r="K19" s="749" t="str">
        <f>'Equipment Combat'!B393</f>
        <v>Trained</v>
      </c>
      <c r="L19" s="749"/>
      <c r="M19" s="1355">
        <f>'Equipment Combat'!B396</f>
        <v>0</v>
      </c>
      <c r="N19" s="457" t="s">
        <v>505</v>
      </c>
      <c r="O19" s="1540" t="str">
        <f>CONCATENATE('Equipment Combat'!B402,'Equipment Combat'!B384)</f>
        <v>1d8</v>
      </c>
      <c r="P19" s="1541"/>
      <c r="Q19" s="1318" t="str">
        <f>"+"&amp;'Equipment Combat'!B401</f>
        <v>+0</v>
      </c>
      <c r="R19" s="753" t="str">
        <f>'Equipment Combat'!B400</f>
        <v>STR</v>
      </c>
      <c r="S19" s="1356" t="str">
        <f>'Equipment Combat'!B385</f>
        <v>Piercing</v>
      </c>
      <c r="T19" s="1357" t="str">
        <f>'Equipment Combat'!B390</f>
        <v>Spear</v>
      </c>
      <c r="U19" s="1358"/>
      <c r="V19" s="1357" t="str">
        <f>'Equipment Combat'!B378&amp;IF('Equipment Combat'!B379="-","",", "&amp;'Equipment Combat'!B379)&amp;IF('Equipment Combat'!B380="-","",", "&amp;'Equipment Combat'!B380)&amp;IF('Equipment Combat'!B381="-","",", "&amp;'Equipment Combat'!B381)&amp;IF('Equipment Combat'!B382="-","",", "&amp;'Equipment Combat'!B382)&amp;IF('Equipment Combat'!B387="-","",", "&amp;'Equipment Combat'!B387)&amp;IF('Equipment Combat'!B388="-","",", "&amp;'Equipment Combat'!B388)</f>
        <v>Simple, Reach</v>
      </c>
      <c r="W19" s="1359"/>
      <c r="X19" s="1359"/>
      <c r="Y19" s="1359"/>
      <c r="Z19" s="1359"/>
      <c r="AA19" s="1359"/>
      <c r="AB19" s="1358"/>
      <c r="AC19" s="637"/>
    </row>
    <row r="20" spans="1:29" ht="19.5" customHeight="1" x14ac:dyDescent="0.25">
      <c r="A20" s="643"/>
      <c r="B20" s="766" t="str">
        <f>'Equipment Combat'!B403</f>
        <v>Javelin</v>
      </c>
      <c r="C20" s="767"/>
      <c r="D20" s="767"/>
      <c r="E20" s="1534" t="str">
        <f>'Equipment Combat'!B418</f>
        <v>10/5/0</v>
      </c>
      <c r="F20" s="1534"/>
      <c r="G20" s="750" t="str">
        <f>"= "&amp;'Equipment Combat'!B421</f>
        <v>= 3</v>
      </c>
      <c r="H20" s="749" t="str">
        <f>'Equipment Combat'!B419</f>
        <v>DEX</v>
      </c>
      <c r="I20" s="749"/>
      <c r="J20" s="750" t="str">
        <f>"+ "&amp;'Equipment Combat'!B422</f>
        <v>+ 7</v>
      </c>
      <c r="K20" s="749" t="str">
        <f>'Equipment Combat'!B420</f>
        <v>Trained</v>
      </c>
      <c r="L20" s="749"/>
      <c r="M20" s="1355">
        <f>'Equipment Combat'!B423</f>
        <v>0</v>
      </c>
      <c r="N20" s="457" t="s">
        <v>505</v>
      </c>
      <c r="O20" s="1540" t="str">
        <f>CONCATENATE('Equipment Combat'!B429,'Equipment Combat'!B411)</f>
        <v>1d6</v>
      </c>
      <c r="P20" s="1541"/>
      <c r="Q20" s="1318" t="str">
        <f>"+"&amp;'Equipment Combat'!B428</f>
        <v>+0</v>
      </c>
      <c r="R20" s="753" t="str">
        <f>'Equipment Combat'!B427</f>
        <v>STR</v>
      </c>
      <c r="S20" s="1356" t="str">
        <f>'Equipment Combat'!B412</f>
        <v>Piercing</v>
      </c>
      <c r="T20" s="1357" t="str">
        <f>'Equipment Combat'!B417</f>
        <v>Dart</v>
      </c>
      <c r="U20" s="1358"/>
      <c r="V20" s="1357" t="str">
        <f>'Equipment Combat'!B405&amp;IF('Equipment Combat'!B406="-","",", "&amp;'Equipment Combat'!B406)&amp;IF('Equipment Combat'!B407="-","",", "&amp;'Equipment Combat'!B407)&amp;IF('Equipment Combat'!B408="-","",", "&amp;'Equipment Combat'!B408)&amp;IF('Equipment Combat'!B409="-","",", "&amp;'Equipment Combat'!B409)&amp;IF('Equipment Combat'!B414="-","",", "&amp;'Equipment Combat'!B414)&amp;IF('Equipment Combat'!B415="-","",", "&amp;'Equipment Combat'!B415)</f>
        <v>Simple, Thrown, 30'</v>
      </c>
      <c r="W20" s="1359"/>
      <c r="X20" s="1359"/>
      <c r="Y20" s="1359"/>
      <c r="Z20" s="1359"/>
      <c r="AA20" s="1359"/>
      <c r="AB20" s="1358"/>
      <c r="AC20" s="637"/>
    </row>
    <row r="21" spans="1:29" ht="19.5" customHeight="1" x14ac:dyDescent="0.25">
      <c r="A21" s="643"/>
      <c r="B21" s="766" t="str">
        <f>'Equipment Combat'!B430</f>
        <v>Fist</v>
      </c>
      <c r="C21" s="767"/>
      <c r="D21" s="767"/>
      <c r="E21" s="1534" t="str">
        <f>'Equipment Combat'!B445</f>
        <v>10/6/2</v>
      </c>
      <c r="F21" s="1534"/>
      <c r="G21" s="750" t="str">
        <f>"= "&amp;'Equipment Combat'!B448</f>
        <v>= 3</v>
      </c>
      <c r="H21" s="749" t="str">
        <f>'Equipment Combat'!B446</f>
        <v>STR/DEX</v>
      </c>
      <c r="I21" s="749"/>
      <c r="J21" s="750" t="str">
        <f>"+ "&amp;'Equipment Combat'!B449</f>
        <v>+ 7</v>
      </c>
      <c r="K21" s="749" t="str">
        <f>'Equipment Combat'!B447</f>
        <v>Trained</v>
      </c>
      <c r="L21" s="749"/>
      <c r="M21" s="1355">
        <f>'Equipment Combat'!B450</f>
        <v>0</v>
      </c>
      <c r="N21" s="457" t="s">
        <v>505</v>
      </c>
      <c r="O21" s="1540" t="str">
        <f>CONCATENATE('Equipment Combat'!B456,'Equipment Combat'!B438)</f>
        <v>1d4</v>
      </c>
      <c r="P21" s="1541"/>
      <c r="Q21" s="1318" t="str">
        <f>"+"&amp;'Equipment Combat'!B455</f>
        <v>+0</v>
      </c>
      <c r="R21" s="753" t="str">
        <f>'Equipment Combat'!B454</f>
        <v>STR</v>
      </c>
      <c r="S21" s="1356" t="str">
        <f>'Equipment Combat'!B439</f>
        <v>Bludgeoning</v>
      </c>
      <c r="T21" s="1357" t="str">
        <f>'Equipment Combat'!B444</f>
        <v>Brawling</v>
      </c>
      <c r="U21" s="1358"/>
      <c r="V21" s="1357" t="str">
        <f>'Equipment Combat'!B432&amp;IF('Equipment Combat'!B433="-","",", "&amp;'Equipment Combat'!B433)&amp;IF('Equipment Combat'!B434="-","",", "&amp;'Equipment Combat'!B434)&amp;IF('Equipment Combat'!B435="-","",", "&amp;'Equipment Combat'!B435)&amp;IF('Equipment Combat'!B436="-","",", "&amp;'Equipment Combat'!B436)&amp;IF('Equipment Combat'!B441="-","",", "&amp;'Equipment Combat'!B441)&amp;IF('Equipment Combat'!B442="-","",", "&amp;'Equipment Combat'!B442)</f>
        <v>Unarmed, Agile, Finesse, Nonlethal</v>
      </c>
      <c r="W21" s="1359"/>
      <c r="X21" s="1359"/>
      <c r="Y21" s="1359"/>
      <c r="Z21" s="1359"/>
      <c r="AA21" s="1359"/>
      <c r="AB21" s="1358"/>
      <c r="AC21" s="637"/>
    </row>
    <row r="22" spans="1:29" ht="19.5" hidden="1" customHeight="1" outlineLevel="1" x14ac:dyDescent="0.25">
      <c r="A22" s="643"/>
      <c r="B22" s="766" t="str">
        <f>'Equipment Combat'!B457</f>
        <v xml:space="preserve">  </v>
      </c>
      <c r="C22" s="767"/>
      <c r="D22" s="767"/>
      <c r="E22" s="1534">
        <f>'Equipment Combat'!B472</f>
        <v>0</v>
      </c>
      <c r="F22" s="1534"/>
      <c r="G22" s="750" t="str">
        <f>"= "&amp;'Equipment Combat'!B475</f>
        <v xml:space="preserve">=   </v>
      </c>
      <c r="H22" s="749" t="str">
        <f>'Equipment Combat'!B473</f>
        <v xml:space="preserve">  </v>
      </c>
      <c r="I22" s="749"/>
      <c r="J22" s="750" t="str">
        <f>"+ "&amp;'Equipment Combat'!B476</f>
        <v xml:space="preserve">+   </v>
      </c>
      <c r="K22" s="749" t="str">
        <f>'Equipment Combat'!B474</f>
        <v xml:space="preserve">  </v>
      </c>
      <c r="L22" s="749"/>
      <c r="M22" s="1355" t="str">
        <f>'Equipment Combat'!B477</f>
        <v xml:space="preserve">  </v>
      </c>
      <c r="N22" s="457" t="s">
        <v>505</v>
      </c>
      <c r="O22" s="1540" t="str">
        <f>CONCATENATE('Equipment Combat'!B483,'Equipment Combat'!B465)</f>
        <v xml:space="preserve">    </v>
      </c>
      <c r="P22" s="1541"/>
      <c r="Q22" s="1318" t="str">
        <f>"+"&amp;'Equipment Combat'!B482</f>
        <v>+</v>
      </c>
      <c r="R22" s="753" t="str">
        <f>'Equipment Combat'!B481</f>
        <v xml:space="preserve">  </v>
      </c>
      <c r="S22" s="1356" t="str">
        <f>'Equipment Combat'!B466</f>
        <v>-</v>
      </c>
      <c r="T22" s="1357" t="str">
        <f>'Equipment Combat'!B471</f>
        <v>-</v>
      </c>
      <c r="U22" s="1358"/>
      <c r="V22" s="1357" t="str">
        <f>'Equipment Combat'!B459&amp;IF('Equipment Combat'!B460="-","",", "&amp;'Equipment Combat'!B460)&amp;IF('Equipment Combat'!B461="-","",", "&amp;'Equipment Combat'!B461)&amp;IF('Equipment Combat'!B462="-","",", "&amp;'Equipment Combat'!B462)&amp;IF('Equipment Combat'!B463="-","",", "&amp;'Equipment Combat'!B463)&amp;IF('Equipment Combat'!B468="-","",", "&amp;'Equipment Combat'!B468)&amp;IF('Equipment Combat'!B469="-","",", "&amp;'Equipment Combat'!B469)</f>
        <v>-</v>
      </c>
      <c r="W22" s="1359"/>
      <c r="X22" s="1359"/>
      <c r="Y22" s="1359"/>
      <c r="Z22" s="1359"/>
      <c r="AA22" s="1359"/>
      <c r="AB22" s="1358"/>
      <c r="AC22" s="637"/>
    </row>
    <row r="23" spans="1:29" ht="19.5" hidden="1" customHeight="1" outlineLevel="1" x14ac:dyDescent="0.25">
      <c r="A23" s="643"/>
      <c r="B23" s="1360" t="str">
        <f>'Equipment Combat'!B484</f>
        <v xml:space="preserve">  </v>
      </c>
      <c r="C23" s="1361"/>
      <c r="D23" s="1361"/>
      <c r="E23" s="1535">
        <f>'Equipment Combat'!B499</f>
        <v>0</v>
      </c>
      <c r="F23" s="1535"/>
      <c r="G23" s="751" t="str">
        <f>"= "&amp;'Equipment Combat'!B502</f>
        <v xml:space="preserve">=   </v>
      </c>
      <c r="H23" s="1362" t="str">
        <f>'Equipment Combat'!B500</f>
        <v xml:space="preserve">  </v>
      </c>
      <c r="I23" s="918"/>
      <c r="J23" s="751" t="str">
        <f>"+ "&amp;'Equipment Combat'!B503</f>
        <v xml:space="preserve">+   </v>
      </c>
      <c r="K23" s="918" t="str">
        <f>'Equipment Combat'!B501</f>
        <v xml:space="preserve">  </v>
      </c>
      <c r="L23" s="918"/>
      <c r="M23" s="1363" t="str">
        <f>'Equipment Combat'!B504</f>
        <v xml:space="preserve">  </v>
      </c>
      <c r="N23" s="457" t="s">
        <v>505</v>
      </c>
      <c r="O23" s="1542" t="str">
        <f>CONCATENATE('Equipment Combat'!B510,'Equipment Combat'!B492)</f>
        <v xml:space="preserve">    </v>
      </c>
      <c r="P23" s="1543"/>
      <c r="Q23" s="1319" t="str">
        <f>"+"&amp;'Equipment Combat'!B509</f>
        <v xml:space="preserve">+  </v>
      </c>
      <c r="R23" s="917" t="str">
        <f>'Equipment Combat'!B508</f>
        <v xml:space="preserve">  </v>
      </c>
      <c r="S23" s="1364" t="str">
        <f>'Equipment Combat'!B493</f>
        <v>-</v>
      </c>
      <c r="T23" s="1365" t="str">
        <f>'Equipment Combat'!B498</f>
        <v>-</v>
      </c>
      <c r="U23" s="1366"/>
      <c r="V23" s="1365" t="str">
        <f>'Equipment Combat'!B486&amp;IF('Equipment Combat'!B487="-","",", "&amp;'Equipment Combat'!B487)&amp;IF('Equipment Combat'!B488="-","",", "&amp;'Equipment Combat'!B488)&amp;IF('Equipment Combat'!B489="-","",", "&amp;'Equipment Combat'!B489)&amp;IF('Equipment Combat'!B490="-","",", "&amp;'Equipment Combat'!B490)&amp;IF('Equipment Combat'!B495="-","",", "&amp;'Equipment Combat'!B495)&amp;IF('Equipment Combat'!B496="-","",", "&amp;'Equipment Combat'!B496)</f>
        <v>-</v>
      </c>
      <c r="W23" s="1367"/>
      <c r="X23" s="1367"/>
      <c r="Y23" s="1367"/>
      <c r="Z23" s="1367"/>
      <c r="AA23" s="1367"/>
      <c r="AB23" s="1366"/>
      <c r="AC23" s="637"/>
    </row>
    <row r="24" spans="1:29" s="450" customFormat="1" ht="19.5" customHeight="1" collapsed="1" x14ac:dyDescent="0.3">
      <c r="A24" s="648"/>
      <c r="B24" s="906" t="s">
        <v>19</v>
      </c>
      <c r="C24" s="906"/>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907"/>
      <c r="P25" s="907"/>
      <c r="Q25" s="907"/>
      <c r="R25" s="489" t="s">
        <v>7</v>
      </c>
      <c r="S25" s="907"/>
      <c r="T25" s="489" t="s">
        <v>79</v>
      </c>
      <c r="U25" s="907"/>
      <c r="V25" s="907"/>
      <c r="W25" s="489" t="s">
        <v>324</v>
      </c>
      <c r="X25" s="907"/>
      <c r="Y25" s="907"/>
      <c r="Z25" s="489" t="s">
        <v>342</v>
      </c>
      <c r="AA25" s="907"/>
      <c r="AB25" s="489" t="s">
        <v>301</v>
      </c>
      <c r="AC25" s="637"/>
    </row>
    <row r="26" spans="1:29" ht="19.5" customHeight="1" x14ac:dyDescent="0.25">
      <c r="A26" s="643"/>
      <c r="B26" s="754" t="s">
        <v>20</v>
      </c>
      <c r="C26" s="755"/>
      <c r="D26" s="756">
        <f>Skills!B8</f>
        <v>3</v>
      </c>
      <c r="E26" s="732" t="s">
        <v>502</v>
      </c>
      <c r="F26" s="733">
        <f>Skills!B49</f>
        <v>3</v>
      </c>
      <c r="G26" s="733" t="s">
        <v>499</v>
      </c>
      <c r="H26" s="1339">
        <f>Skills!B175</f>
        <v>0</v>
      </c>
      <c r="I26" s="731" t="str">
        <f>Skills!B96</f>
        <v>Untrained</v>
      </c>
      <c r="J26" s="731"/>
      <c r="K26" s="734" t="s">
        <v>499</v>
      </c>
      <c r="L26" s="734"/>
      <c r="M26" s="734" t="s">
        <v>499</v>
      </c>
      <c r="N26" s="735">
        <f>Skills!B277</f>
        <v>0</v>
      </c>
      <c r="O26" s="754" t="s">
        <v>60</v>
      </c>
      <c r="P26" s="755"/>
      <c r="Q26" s="1340"/>
      <c r="R26" s="756">
        <f>Skills!B25</f>
        <v>13</v>
      </c>
      <c r="S26" s="732" t="s">
        <v>502</v>
      </c>
      <c r="T26" s="733">
        <f>Skills!B63</f>
        <v>4</v>
      </c>
      <c r="U26" s="733" t="s">
        <v>499</v>
      </c>
      <c r="V26" s="733">
        <f>Skills!B189</f>
        <v>9</v>
      </c>
      <c r="W26" s="731" t="str">
        <f>Skills!B124</f>
        <v>Expert</v>
      </c>
      <c r="X26" s="731"/>
      <c r="Y26" s="734" t="s">
        <v>499</v>
      </c>
      <c r="Z26" s="734"/>
      <c r="AA26" s="734" t="s">
        <v>499</v>
      </c>
      <c r="AB26" s="736"/>
      <c r="AC26" s="637"/>
    </row>
    <row r="27" spans="1:29" ht="19.5" customHeight="1" x14ac:dyDescent="0.25">
      <c r="A27" s="643"/>
      <c r="B27" s="757" t="s">
        <v>51</v>
      </c>
      <c r="C27" s="758"/>
      <c r="D27" s="759">
        <f>Skills!B9</f>
        <v>2</v>
      </c>
      <c r="E27" s="738" t="s">
        <v>502</v>
      </c>
      <c r="F27" s="739">
        <f>Skills!B50</f>
        <v>2</v>
      </c>
      <c r="G27" s="739" t="s">
        <v>499</v>
      </c>
      <c r="H27" s="1341">
        <f>Skills!B176</f>
        <v>0</v>
      </c>
      <c r="I27" s="737" t="str">
        <f>Skills!B98</f>
        <v>Untrained</v>
      </c>
      <c r="J27" s="737"/>
      <c r="K27" s="740" t="s">
        <v>499</v>
      </c>
      <c r="L27" s="740"/>
      <c r="M27" s="740" t="s">
        <v>499</v>
      </c>
      <c r="N27" s="741"/>
      <c r="O27" s="757" t="s">
        <v>61</v>
      </c>
      <c r="P27" s="758"/>
      <c r="Q27" s="1342"/>
      <c r="R27" s="759">
        <f>Skills!B26</f>
        <v>11</v>
      </c>
      <c r="S27" s="738" t="s">
        <v>502</v>
      </c>
      <c r="T27" s="739">
        <f>Skills!B64</f>
        <v>4</v>
      </c>
      <c r="U27" s="739" t="s">
        <v>499</v>
      </c>
      <c r="V27" s="739">
        <f>Skills!B190</f>
        <v>7</v>
      </c>
      <c r="W27" s="737" t="str">
        <f>Skills!B126</f>
        <v>Trained</v>
      </c>
      <c r="X27" s="737"/>
      <c r="Y27" s="740" t="s">
        <v>499</v>
      </c>
      <c r="Z27" s="740"/>
      <c r="AA27" s="740" t="s">
        <v>499</v>
      </c>
      <c r="AB27" s="741"/>
      <c r="AC27" s="637"/>
    </row>
    <row r="28" spans="1:29" ht="19.5" customHeight="1" x14ac:dyDescent="0.25">
      <c r="A28" s="643"/>
      <c r="B28" s="757" t="s">
        <v>52</v>
      </c>
      <c r="C28" s="758"/>
      <c r="D28" s="759">
        <f>Skills!B10</f>
        <v>7</v>
      </c>
      <c r="E28" s="738" t="s">
        <v>502</v>
      </c>
      <c r="F28" s="739">
        <f>Skills!B51</f>
        <v>0</v>
      </c>
      <c r="G28" s="739" t="s">
        <v>499</v>
      </c>
      <c r="H28" s="1341">
        <f>Skills!B177</f>
        <v>7</v>
      </c>
      <c r="I28" s="737" t="str">
        <f>Skills!B100</f>
        <v>Trained</v>
      </c>
      <c r="J28" s="737"/>
      <c r="K28" s="740" t="s">
        <v>499</v>
      </c>
      <c r="L28" s="740"/>
      <c r="M28" s="740" t="s">
        <v>499</v>
      </c>
      <c r="N28" s="742">
        <f>Skills!B278</f>
        <v>0</v>
      </c>
      <c r="O28" s="757" t="s">
        <v>62</v>
      </c>
      <c r="P28" s="758"/>
      <c r="Q28" s="758"/>
      <c r="R28" s="759">
        <f>Skills!B27</f>
        <v>2</v>
      </c>
      <c r="S28" s="738" t="s">
        <v>502</v>
      </c>
      <c r="T28" s="739">
        <f>Skills!B65</f>
        <v>2</v>
      </c>
      <c r="U28" s="739" t="s">
        <v>499</v>
      </c>
      <c r="V28" s="739">
        <f>Skills!B191</f>
        <v>0</v>
      </c>
      <c r="W28" s="737" t="str">
        <f>Skills!B128</f>
        <v>Untrained</v>
      </c>
      <c r="X28" s="737"/>
      <c r="Y28" s="740" t="s">
        <v>499</v>
      </c>
      <c r="Z28" s="740"/>
      <c r="AA28" s="740" t="s">
        <v>499</v>
      </c>
      <c r="AB28" s="741"/>
      <c r="AC28" s="637"/>
    </row>
    <row r="29" spans="1:29" ht="19.5" customHeight="1" x14ac:dyDescent="0.25">
      <c r="A29" s="643"/>
      <c r="B29" s="757" t="s">
        <v>53</v>
      </c>
      <c r="C29" s="758"/>
      <c r="D29" s="759">
        <f>Skills!B11</f>
        <v>2</v>
      </c>
      <c r="E29" s="738" t="s">
        <v>502</v>
      </c>
      <c r="F29" s="739">
        <f>Skills!B52</f>
        <v>2</v>
      </c>
      <c r="G29" s="739" t="s">
        <v>499</v>
      </c>
      <c r="H29" s="1341">
        <f>Skills!B178</f>
        <v>0</v>
      </c>
      <c r="I29" s="737" t="str">
        <f>Skills!B102</f>
        <v>Untrained</v>
      </c>
      <c r="J29" s="737"/>
      <c r="K29" s="740" t="s">
        <v>499</v>
      </c>
      <c r="L29" s="740"/>
      <c r="M29" s="740" t="s">
        <v>499</v>
      </c>
      <c r="N29" s="741"/>
      <c r="O29" s="757" t="s">
        <v>23</v>
      </c>
      <c r="P29" s="758"/>
      <c r="Q29" s="1342"/>
      <c r="R29" s="759">
        <f>Skills!B28</f>
        <v>3</v>
      </c>
      <c r="S29" s="738" t="s">
        <v>502</v>
      </c>
      <c r="T29" s="739">
        <f>Skills!B66</f>
        <v>3</v>
      </c>
      <c r="U29" s="739" t="s">
        <v>499</v>
      </c>
      <c r="V29" s="739">
        <f>Skills!B192</f>
        <v>0</v>
      </c>
      <c r="W29" s="737" t="str">
        <f>Skills!B130</f>
        <v>Untrained</v>
      </c>
      <c r="X29" s="737"/>
      <c r="Y29" s="740" t="s">
        <v>499</v>
      </c>
      <c r="Z29" s="740"/>
      <c r="AA29" s="740" t="s">
        <v>499</v>
      </c>
      <c r="AB29" s="742">
        <f>Skills!B279</f>
        <v>0</v>
      </c>
      <c r="AC29" s="637"/>
    </row>
    <row r="30" spans="1:29" ht="19.5" customHeight="1" x14ac:dyDescent="0.25">
      <c r="A30" s="643"/>
      <c r="B30" s="757" t="s">
        <v>54</v>
      </c>
      <c r="C30" s="758"/>
      <c r="D30" s="759">
        <f>Skills!B12</f>
        <v>4</v>
      </c>
      <c r="E30" s="738" t="s">
        <v>502</v>
      </c>
      <c r="F30" s="739">
        <f>Skills!B53</f>
        <v>4</v>
      </c>
      <c r="G30" s="739" t="s">
        <v>499</v>
      </c>
      <c r="H30" s="1341">
        <f>Skills!B179</f>
        <v>0</v>
      </c>
      <c r="I30" s="737" t="str">
        <f>Skills!B104</f>
        <v>Untrained</v>
      </c>
      <c r="J30" s="737"/>
      <c r="K30" s="740" t="s">
        <v>499</v>
      </c>
      <c r="L30" s="740"/>
      <c r="M30" s="740" t="s">
        <v>499</v>
      </c>
      <c r="N30" s="741"/>
      <c r="O30" s="757" t="s">
        <v>24</v>
      </c>
      <c r="P30" s="758"/>
      <c r="Q30" s="1342"/>
      <c r="R30" s="759">
        <f>Skills!B29</f>
        <v>11</v>
      </c>
      <c r="S30" s="738" t="s">
        <v>502</v>
      </c>
      <c r="T30" s="739">
        <f>Skills!B67</f>
        <v>4</v>
      </c>
      <c r="U30" s="739" t="s">
        <v>499</v>
      </c>
      <c r="V30" s="739">
        <f>Skills!B193</f>
        <v>7</v>
      </c>
      <c r="W30" s="737" t="str">
        <f>Skills!B132</f>
        <v>Trained</v>
      </c>
      <c r="X30" s="737"/>
      <c r="Y30" s="740" t="s">
        <v>499</v>
      </c>
      <c r="Z30" s="740"/>
      <c r="AA30" s="740" t="s">
        <v>499</v>
      </c>
      <c r="AB30" s="741"/>
      <c r="AC30" s="637"/>
    </row>
    <row r="31" spans="1:29" ht="19.5" customHeight="1" x14ac:dyDescent="0.25">
      <c r="A31" s="643"/>
      <c r="B31" s="757" t="s">
        <v>21</v>
      </c>
      <c r="C31" s="758"/>
      <c r="D31" s="759">
        <f>Skills!B13</f>
        <v>11</v>
      </c>
      <c r="E31" s="738" t="s">
        <v>502</v>
      </c>
      <c r="F31" s="739">
        <f>Skills!B54</f>
        <v>4</v>
      </c>
      <c r="G31" s="739" t="s">
        <v>499</v>
      </c>
      <c r="H31" s="1341">
        <f>Skills!B180</f>
        <v>7</v>
      </c>
      <c r="I31" s="737" t="str">
        <f>Skills!B106</f>
        <v>Trained</v>
      </c>
      <c r="J31" s="737"/>
      <c r="K31" s="740" t="s">
        <v>499</v>
      </c>
      <c r="L31" s="740"/>
      <c r="M31" s="740" t="s">
        <v>499</v>
      </c>
      <c r="N31" s="741"/>
      <c r="O31" s="757" t="s">
        <v>63</v>
      </c>
      <c r="P31" s="758"/>
      <c r="Q31" s="1342"/>
      <c r="R31" s="759">
        <f>Skills!B30</f>
        <v>3</v>
      </c>
      <c r="S31" s="738" t="s">
        <v>502</v>
      </c>
      <c r="T31" s="739">
        <f>Skills!B68</f>
        <v>3</v>
      </c>
      <c r="U31" s="739" t="s">
        <v>499</v>
      </c>
      <c r="V31" s="739">
        <f>Skills!B194</f>
        <v>0</v>
      </c>
      <c r="W31" s="737" t="str">
        <f>Skills!B134</f>
        <v>Untrained</v>
      </c>
      <c r="X31" s="737"/>
      <c r="Y31" s="740" t="s">
        <v>499</v>
      </c>
      <c r="Z31" s="740"/>
      <c r="AA31" s="740" t="s">
        <v>499</v>
      </c>
      <c r="AB31" s="742">
        <f>Skills!B280</f>
        <v>0</v>
      </c>
      <c r="AC31" s="637"/>
    </row>
    <row r="32" spans="1:29" ht="19.5" customHeight="1" x14ac:dyDescent="0.25">
      <c r="A32" s="643"/>
      <c r="B32" s="757" t="s">
        <v>55</v>
      </c>
      <c r="C32" s="758"/>
      <c r="D32" s="759">
        <f>Skills!B14</f>
        <v>4</v>
      </c>
      <c r="E32" s="738" t="s">
        <v>502</v>
      </c>
      <c r="F32" s="739">
        <f>Skills!B55</f>
        <v>4</v>
      </c>
      <c r="G32" s="739" t="s">
        <v>499</v>
      </c>
      <c r="H32" s="1341">
        <f>Skills!B181</f>
        <v>0</v>
      </c>
      <c r="I32" s="737" t="str">
        <f>Skills!B108</f>
        <v>Untrained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",Skills!B17)</f>
        <v>&gt; Dahak</v>
      </c>
      <c r="C33" s="758"/>
      <c r="D33" s="759">
        <f>Skills!B16</f>
        <v>11</v>
      </c>
      <c r="E33" s="738" t="s">
        <v>502</v>
      </c>
      <c r="F33" s="739">
        <f>Skills!B57</f>
        <v>2</v>
      </c>
      <c r="G33" s="739" t="s">
        <v>499</v>
      </c>
      <c r="H33" s="1341">
        <f>Skills!B183</f>
        <v>9</v>
      </c>
      <c r="I33" s="737" t="str">
        <f>Skills!B112</f>
        <v>Expert</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customHeight="1" x14ac:dyDescent="0.25">
      <c r="A34" s="643"/>
      <c r="B34" s="1140" t="str">
        <f>IF(Skills!B19="","",CONCATENATE("&gt; ",Skills!B19))</f>
        <v>&gt; Goblin</v>
      </c>
      <c r="C34" s="758"/>
      <c r="D34" s="759">
        <f>IF(Skills!B19="","",Skills!B18)</f>
        <v>9</v>
      </c>
      <c r="E34" s="738" t="s">
        <v>502</v>
      </c>
      <c r="F34" s="739">
        <f>IF(Skills!B19="","",Skills!B57)</f>
        <v>2</v>
      </c>
      <c r="G34" s="739" t="s">
        <v>499</v>
      </c>
      <c r="H34" s="1341">
        <f>Skills!B184</f>
        <v>7</v>
      </c>
      <c r="I34" s="737" t="str">
        <f>Skills!B114</f>
        <v>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x14ac:dyDescent="0.25">
      <c r="A35" s="643"/>
      <c r="B35" s="760" t="s">
        <v>57</v>
      </c>
      <c r="C35" s="758"/>
      <c r="D35" s="759">
        <f>Skills!B22</f>
        <v>11</v>
      </c>
      <c r="E35" s="738" t="s">
        <v>502</v>
      </c>
      <c r="F35" s="739">
        <f>Skills!B60</f>
        <v>4</v>
      </c>
      <c r="G35" s="739" t="s">
        <v>499</v>
      </c>
      <c r="H35" s="1341">
        <f>Skills!B186</f>
        <v>7</v>
      </c>
      <c r="I35" s="737" t="str">
        <f>Skills!B118</f>
        <v>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Skills!B23</f>
        <v>13</v>
      </c>
      <c r="E36" s="738" t="s">
        <v>502</v>
      </c>
      <c r="F36" s="739">
        <f>Skills!B61</f>
        <v>4</v>
      </c>
      <c r="G36" s="739" t="s">
        <v>499</v>
      </c>
      <c r="H36" s="1341">
        <f>Skills!B187</f>
        <v>9</v>
      </c>
      <c r="I36" s="737" t="str">
        <f>Skills!B120</f>
        <v>Expert</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Skills!B24</f>
        <v>2</v>
      </c>
      <c r="E37" s="743" t="s">
        <v>502</v>
      </c>
      <c r="F37" s="744">
        <f>Skills!B62</f>
        <v>2</v>
      </c>
      <c r="G37" s="744" t="s">
        <v>499</v>
      </c>
      <c r="H37" s="1344">
        <f>Skills!B188</f>
        <v>0</v>
      </c>
      <c r="I37" s="1345" t="str">
        <f>Skills!B122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46"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Combat'!B512="","",'Equipment Combat'!B512&amp;" -&gt; Trigger : "&amp;'Equipment Combat'!B513&amp;"; Effect : "&amp;'Equipment Combat'!B514&amp;IF('Equipment Combat'!B515="",""," - "&amp;'Equipment Combat'!B515))</f>
        <v>Life Block -&gt; Trigger : Target would take damage; Effect : - 10 damage, you lose HP - [Protect Companion is active]</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hidden="1" customHeight="1" outlineLevel="1" x14ac:dyDescent="0.25">
      <c r="A40" s="646"/>
      <c r="B40" s="725" t="str">
        <f>IF('Equipment Combat'!B516="","",'Equipment Combat'!B516&amp;" -&gt; Trigger : "&amp;'Equipment Combat'!B517&amp;"; Effect : "&amp;'Equipment Combat'!B518&amp;IF('Equipment Combat'!B519="",""," - "&amp;'Equipment Combat'!B519))</f>
        <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hidden="1" customHeight="1" outlineLevel="1" x14ac:dyDescent="0.25">
      <c r="A41" s="646"/>
      <c r="B41" s="725" t="str">
        <f>IF('Equipment Combat'!B520="","",'Equipment Combat'!B520&amp;" -&gt; Trigger : "&amp;'Equipment Combat'!B521&amp;"; Effect : "&amp;'Equipment Combat'!B522&amp;IF('Equipment Combat'!B523="",""," - "&amp;'Equipment Combat'!B523))</f>
        <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Combat'!B524="","",'Equipment Combat'!B524&amp;" -&gt; Trigger : "&amp;'Equipment Combat'!B525&amp;"; Effect : "&amp;'Equipment Combat'!B526&amp;IF('Equipment Combat'!B527="",""," - "&amp;'Equipment Combat'!B527))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Combat'!B528="","",'Equipment Combat'!B528&amp;" -&gt; Trigger : "&amp;'Equipment Combat'!B529&amp;"; Effect : "&amp;'Equipment Combat'!B530&amp;IF('Equipment Combat'!B531="",""," - "&amp;'Equipment Combat'!B531))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Y47" s="627"/>
      <c r="Z47" s="454"/>
      <c r="AA47" s="455" t="s">
        <v>514</v>
      </c>
      <c r="AB47" s="455" t="s">
        <v>339</v>
      </c>
      <c r="AC47" s="637"/>
    </row>
    <row r="48" spans="1:29" ht="19.5" customHeight="1" x14ac:dyDescent="0.25">
      <c r="A48" s="656"/>
      <c r="B48" s="1328" t="str">
        <f>IF('Equipment Combat'!B7="","",'Equipment Combat'!B7&amp;" ("&amp;'Equipment Combat'!B114&amp;")")</f>
        <v>Backpack (Back)</v>
      </c>
      <c r="C48" s="1329"/>
      <c r="D48" s="1329"/>
      <c r="E48" s="1330"/>
      <c r="F48" s="1331"/>
      <c r="G48" s="714">
        <f>IF('Equipment Combat'!B60="","",'Equipment Combat'!B60)</f>
        <v>1</v>
      </c>
      <c r="H48" s="715" t="str">
        <f>IF('Equipment Combat'!B114="Stowed","["&amp;IF('Equipment Combat'!#REF!&lt;0.1,"",IF('Equipment Combat'!#REF!&lt;1,INT(10*'Equipment Combat'!#REF!)&amp;"L",INT('Equipment Combat'!#REF!)&amp;"B"))&amp;"]",IF('Equipment Combat'!B277&lt;0.1,"",IF('Equipment Combat'!B277&lt;1,INT(10*'Equipment Combat'!B277)&amp;"L",INT('Equipment Combat'!B277)&amp;"B")))</f>
        <v/>
      </c>
      <c r="I48" s="1328" t="str">
        <f>IF('Equipment Combat'!B20="","",'Equipment Combat'!B20&amp;" ("&amp;'Equipment Combat'!B127&amp;")")</f>
        <v>Wand of Heal (L1) (Worn)</v>
      </c>
      <c r="J48" s="1329"/>
      <c r="K48" s="1330"/>
      <c r="L48" s="1331"/>
      <c r="M48" s="1329"/>
      <c r="N48" s="714">
        <f>IF('Equipment Combat'!B73="","",'Equipment Combat'!B73)</f>
        <v>1</v>
      </c>
      <c r="O48" s="715" t="str">
        <f>IF('Equipment Combat'!B127="Stowed","["&amp;IF('Equipment Combat'!B234&lt;0.1,"",IF('Equipment Combat'!B234&lt;1,INT(10*'Equipment Combat'!B234)&amp;"L",INT('Equipment Combat'!B234)&amp;"B"))&amp;"]",IF('Equipment Combat'!B290&lt;0.1,"",IF('Equipment Combat'!B290&lt;1,INT(10*'Equipment Combat'!B290)&amp;"L",INT('Equipment Combat'!B290)&amp;"B")))</f>
        <v>1L</v>
      </c>
      <c r="P48" s="1328" t="str">
        <f>IF('Equipment Combat'!B33="","",'Equipment Combat'!B33&amp;" ("&amp;'Equipment Combat'!B140&amp;")")</f>
        <v/>
      </c>
      <c r="Q48" s="1329"/>
      <c r="R48" s="1330"/>
      <c r="S48" s="1331"/>
      <c r="T48" s="1329"/>
      <c r="U48" s="714" t="str">
        <f>IF('Equipment Combat'!B86="","",'Equipment Combat'!B86)</f>
        <v/>
      </c>
      <c r="V48" s="715" t="str">
        <f>IF('Equipment Combat'!B140="Stowed","["&amp;IF('Equipment Combat'!B247&lt;0.1,"",IF('Equipment Combat'!B247&lt;1,INT(10*'Equipment Combat'!B247)&amp;"L",INT('Equipment Combat'!B247)&amp;"B"))&amp;"]",IF('Equipment Combat'!B303&lt;0.1,"",IF('Equipment Combat'!B303&lt;1,INT(10*'Equipment Combat'!B303)&amp;"L",INT('Equipment Combat'!B303)&amp;"B")))</f>
        <v/>
      </c>
      <c r="W48" s="1328" t="str">
        <f>IF('Equipment Combat'!B46="","",'Equipment Combat'!B46&amp;" ("&amp;'Equipment Combat'!B153&amp;")")</f>
        <v/>
      </c>
      <c r="X48" s="1329"/>
      <c r="Y48" s="1331"/>
      <c r="Z48" s="1329"/>
      <c r="AA48" s="714" t="str">
        <f>IF('Equipment Combat'!B99="","",'Equipment Combat'!B99)</f>
        <v/>
      </c>
      <c r="AB48" s="715" t="str">
        <f>IF('Equipment Combat'!B153="Stowed","["&amp;IF('Equipment Combat'!B260&lt;0.1,"",IF('Equipment Combat'!B260&lt;1,INT(10*'Equipment Combat'!B260)&amp;"L",INT('Equipment Combat'!B260)&amp;"B"))&amp;"]",IF('Equipment Combat'!B316&lt;0.1,"",IF('Equipment Combat'!B316&lt;1,INT(10*'Equipment Combat'!B316)&amp;"L",INT('Equipment Combat'!B316)&amp;"B")))</f>
        <v/>
      </c>
      <c r="AC48" s="637"/>
    </row>
    <row r="49" spans="1:29" ht="19.5" customHeight="1" x14ac:dyDescent="0.25">
      <c r="A49" s="656"/>
      <c r="B49" s="1332" t="str">
        <f>IF('Equipment Combat'!B8="","",'Equipment Combat'!B8&amp;" ("&amp;'Equipment Combat'!B115&amp;")")</f>
        <v>Bedroll (Stowed)</v>
      </c>
      <c r="C49" s="1333"/>
      <c r="D49" s="1333"/>
      <c r="E49" s="1334"/>
      <c r="F49" s="1335"/>
      <c r="G49" s="716">
        <f>IF('Equipment Combat'!B61="","",'Equipment Combat'!B61)</f>
        <v>1</v>
      </c>
      <c r="H49" s="717" t="str">
        <f>IF('Equipment Combat'!B115="Stowed","["&amp;IF('Equipment Combat'!B222&lt;0.1,"",IF('Equipment Combat'!B222&lt;1,INT(10*'Equipment Combat'!B222)&amp;"L",INT('Equipment Combat'!B222)&amp;"B"))&amp;"]",IF('Equipment Combat'!B278&lt;0.1,"",IF('Equipment Combat'!B278&lt;1,INT(10*'Equipment Combat'!B278)&amp;"L",INT('Equipment Combat'!B278)&amp;"B")))</f>
        <v>[1L]</v>
      </c>
      <c r="I49" s="1332" t="str">
        <f>IF('Equipment Combat'!B21="","",'Equipment Combat'!B21&amp;" ("&amp;'Equipment Combat'!B128&amp;")")</f>
        <v>Monkey Pin (Worn)</v>
      </c>
      <c r="J49" s="1333"/>
      <c r="K49" s="1334"/>
      <c r="L49" s="1335"/>
      <c r="M49" s="1333"/>
      <c r="N49" s="716">
        <f>IF('Equipment Combat'!B74="","",'Equipment Combat'!B74)</f>
        <v>1</v>
      </c>
      <c r="O49" s="717" t="str">
        <f>IF('Equipment Combat'!B128="Stowed","["&amp;IF('Equipment Combat'!B235&lt;0.1,"",IF('Equipment Combat'!B235&lt;1,INT(10*'Equipment Combat'!B235)&amp;"L",INT('Equipment Combat'!B235)&amp;"B"))&amp;"]",IF('Equipment Combat'!B291&lt;0.1,"",IF('Equipment Combat'!B291&lt;1,INT(10*'Equipment Combat'!B291)&amp;"L",INT('Equipment Combat'!B291)&amp;"B")))</f>
        <v/>
      </c>
      <c r="P49" s="1332" t="str">
        <f>IF('Equipment Combat'!B34="","",'Equipment Combat'!B34&amp;" ("&amp;'Equipment Combat'!B141&amp;")")</f>
        <v/>
      </c>
      <c r="Q49" s="1333"/>
      <c r="R49" s="1334"/>
      <c r="S49" s="1335"/>
      <c r="T49" s="1333"/>
      <c r="U49" s="716" t="str">
        <f>IF('Equipment Combat'!B87="","",'Equipment Combat'!B87)</f>
        <v/>
      </c>
      <c r="V49" s="717" t="str">
        <f>IF('Equipment Combat'!B141="Stowed","["&amp;IF('Equipment Combat'!B248&lt;0.1,"",IF('Equipment Combat'!B248&lt;1,INT(10*'Equipment Combat'!B248)&amp;"L",INT('Equipment Combat'!B248)&amp;"B"))&amp;"]",IF('Equipment Combat'!B304&lt;0.1,"",IF('Equipment Combat'!B304&lt;1,INT(10*'Equipment Combat'!B304)&amp;"L",INT('Equipment Combat'!B304)&amp;"B")))</f>
        <v/>
      </c>
      <c r="W49" s="1332" t="str">
        <f>IF('Equipment Combat'!B47="","",'Equipment Combat'!B47&amp;" ("&amp;'Equipment Combat'!B154&amp;")")</f>
        <v/>
      </c>
      <c r="X49" s="1333"/>
      <c r="Y49" s="1335"/>
      <c r="Z49" s="1333"/>
      <c r="AA49" s="716" t="str">
        <f>IF('Equipment Combat'!B100="","",'Equipment Combat'!B100)</f>
        <v/>
      </c>
      <c r="AB49" s="717" t="str">
        <f>IF('Equipment Combat'!B154="Stowed","["&amp;IF('Equipment Combat'!B261&lt;0.1,"",IF('Equipment Combat'!B261&lt;1,INT(10*'Equipment Combat'!B261)&amp;"L",INT('Equipment Combat'!B261)&amp;"B"))&amp;"]",IF('Equipment Combat'!B317&lt;0.1,"",IF('Equipment Combat'!B317&lt;1,INT(10*'Equipment Combat'!B317)&amp;"L",INT('Equipment Combat'!B317)&amp;"B")))</f>
        <v/>
      </c>
      <c r="AC49" s="637"/>
    </row>
    <row r="50" spans="1:29" ht="19.5" customHeight="1" x14ac:dyDescent="0.25">
      <c r="A50" s="656"/>
      <c r="B50" s="1332" t="str">
        <f>IF('Equipment Combat'!B9="","",'Equipment Combat'!B9&amp;" ("&amp;'Equipment Combat'!B116&amp;")")</f>
        <v>Chalk (Stowed)</v>
      </c>
      <c r="C50" s="1333"/>
      <c r="D50" s="1333"/>
      <c r="E50" s="1334"/>
      <c r="F50" s="1335"/>
      <c r="G50" s="716">
        <f>IF('Equipment Combat'!B62="","",'Equipment Combat'!B62)</f>
        <v>10</v>
      </c>
      <c r="H50" s="717" t="str">
        <f>IF('Equipment Combat'!B116="Stowed","["&amp;IF('Equipment Combat'!B223&lt;0.1,"",IF('Equipment Combat'!B223&lt;1,INT(10*'Equipment Combat'!B223)&amp;"L",INT('Equipment Combat'!B223)&amp;"B"))&amp;"]",IF('Equipment Combat'!B279&lt;0.1,"",IF('Equipment Combat'!B279&lt;1,INT(10*'Equipment Combat'!B279)&amp;"L",INT('Equipment Combat'!B279)&amp;"B")))</f>
        <v>[]</v>
      </c>
      <c r="I50" s="1332" t="str">
        <f>IF('Equipment Combat'!B22="","",'Equipment Combat'!B22&amp;" ("&amp;'Equipment Combat'!B129&amp;")")</f>
        <v>Silk Pyjama (25 gp) (Stowed)</v>
      </c>
      <c r="J50" s="1333"/>
      <c r="K50" s="1334"/>
      <c r="L50" s="1335"/>
      <c r="M50" s="1333"/>
      <c r="N50" s="716">
        <f>IF('Equipment Combat'!B75="","",'Equipment Combat'!B75)</f>
        <v>1</v>
      </c>
      <c r="O50" s="717" t="str">
        <f>IF('Equipment Combat'!B129="Stowed","["&amp;IF('Equipment Combat'!B236&lt;0.1,"",IF('Equipment Combat'!B236&lt;1,INT(10*'Equipment Combat'!B236)&amp;"L",INT('Equipment Combat'!B236)&amp;"B"))&amp;"]",IF('Equipment Combat'!B292&lt;0.1,"",IF('Equipment Combat'!B292&lt;1,INT(10*'Equipment Combat'!B292)&amp;"L",INT('Equipment Combat'!B292)&amp;"B")))</f>
        <v>[1L]</v>
      </c>
      <c r="P50" s="1332" t="str">
        <f>IF('Equipment Combat'!B35="","",'Equipment Combat'!B35&amp;" ("&amp;'Equipment Combat'!B142&amp;")")</f>
        <v/>
      </c>
      <c r="Q50" s="1333"/>
      <c r="R50" s="1334"/>
      <c r="S50" s="1335"/>
      <c r="T50" s="1333"/>
      <c r="U50" s="716" t="str">
        <f>IF('Equipment Combat'!B88="","",'Equipment Combat'!B88)</f>
        <v/>
      </c>
      <c r="V50" s="717" t="str">
        <f>IF('Equipment Combat'!B142="Stowed","["&amp;IF('Equipment Combat'!B249&lt;0.1,"",IF('Equipment Combat'!B249&lt;1,INT(10*'Equipment Combat'!B249)&amp;"L",INT('Equipment Combat'!B249)&amp;"B"))&amp;"]",IF('Equipment Combat'!B305&lt;0.1,"",IF('Equipment Combat'!B305&lt;1,INT(10*'Equipment Combat'!B305)&amp;"L",INT('Equipment Combat'!B305)&amp;"B")))</f>
        <v/>
      </c>
      <c r="W50" s="1332" t="str">
        <f>IF('Equipment Combat'!B48="","",'Equipment Combat'!B48&amp;" ("&amp;'Equipment Combat'!B155&amp;")")</f>
        <v/>
      </c>
      <c r="X50" s="1333"/>
      <c r="Y50" s="1335"/>
      <c r="Z50" s="1333"/>
      <c r="AA50" s="716" t="str">
        <f>IF('Equipment Combat'!B101="","",'Equipment Combat'!B101)</f>
        <v/>
      </c>
      <c r="AB50" s="717" t="str">
        <f>IF('Equipment Combat'!B155="Stowed","["&amp;IF('Equipment Combat'!B262&lt;0.1,"",IF('Equipment Combat'!B262&lt;1,INT(10*'Equipment Combat'!B262)&amp;"L",INT('Equipment Combat'!B262)&amp;"B"))&amp;"]",IF('Equipment Combat'!B318&lt;0.1,"",IF('Equipment Combat'!B318&lt;1,INT(10*'Equipment Combat'!B318)&amp;"L",INT('Equipment Combat'!B318)&amp;"B")))</f>
        <v/>
      </c>
      <c r="AC50" s="637"/>
    </row>
    <row r="51" spans="1:29" ht="19.5" customHeight="1" x14ac:dyDescent="0.25">
      <c r="A51" s="656"/>
      <c r="B51" s="1332" t="str">
        <f>IF('Equipment Combat'!B10="","",'Equipment Combat'!B10&amp;" ("&amp;'Equipment Combat'!B117&amp;")")</f>
        <v>Flint and Steel (Stowed)</v>
      </c>
      <c r="C51" s="1333"/>
      <c r="D51" s="1333"/>
      <c r="E51" s="1334"/>
      <c r="F51" s="1335"/>
      <c r="G51" s="716">
        <f>IF('Equipment Combat'!B63="","",'Equipment Combat'!B63)</f>
        <v>1</v>
      </c>
      <c r="H51" s="717" t="str">
        <f>IF('Equipment Combat'!B117="Stowed","["&amp;IF('Equipment Combat'!B224&lt;0.1,"",IF('Equipment Combat'!B224&lt;1,INT(10*'Equipment Combat'!B224)&amp;"L",INT('Equipment Combat'!B224)&amp;"B"))&amp;"]",IF('Equipment Combat'!B280&lt;0.1,"",IF('Equipment Combat'!B280&lt;1,INT(10*'Equipment Combat'!B280)&amp;"L",INT('Equipment Combat'!B280)&amp;"B")))</f>
        <v>[]</v>
      </c>
      <c r="I51" s="1332" t="str">
        <f>IF('Equipment Combat'!B23="","",'Equipment Combat'!B23&amp;" ("&amp;'Equipment Combat'!B130&amp;")")</f>
        <v>Spores of Gloomglow Mushrooms (Worn)</v>
      </c>
      <c r="J51" s="1333"/>
      <c r="K51" s="1334"/>
      <c r="L51" s="1335"/>
      <c r="M51" s="1333"/>
      <c r="N51" s="716">
        <f>IF('Equipment Combat'!B76="","",'Equipment Combat'!B76)</f>
        <v>5</v>
      </c>
      <c r="O51" s="717" t="str">
        <f>IF('Equipment Combat'!B130="Stowed","["&amp;IF('Equipment Combat'!B237&lt;0.1,"",IF('Equipment Combat'!B237&lt;1,INT(10*'Equipment Combat'!B237)&amp;"L",INT('Equipment Combat'!B237)&amp;"B"))&amp;"]",IF('Equipment Combat'!B293&lt;0.1,"",IF('Equipment Combat'!B293&lt;1,INT(10*'Equipment Combat'!B293)&amp;"L",INT('Equipment Combat'!B293)&amp;"B")))</f>
        <v/>
      </c>
      <c r="P51" s="1332" t="str">
        <f>IF('Equipment Combat'!B36="","",'Equipment Combat'!B36&amp;" ("&amp;'Equipment Combat'!B143&amp;")")</f>
        <v/>
      </c>
      <c r="Q51" s="1333"/>
      <c r="R51" s="1334"/>
      <c r="S51" s="1335"/>
      <c r="T51" s="1333"/>
      <c r="U51" s="716" t="str">
        <f>IF('Equipment Combat'!B89="","",'Equipment Combat'!B89)</f>
        <v/>
      </c>
      <c r="V51" s="717" t="str">
        <f>IF('Equipment Combat'!B143="Stowed","["&amp;IF('Equipment Combat'!B250&lt;0.1,"",IF('Equipment Combat'!B250&lt;1,INT(10*'Equipment Combat'!B250)&amp;"L",INT('Equipment Combat'!B250)&amp;"B"))&amp;"]",IF('Equipment Combat'!B306&lt;0.1,"",IF('Equipment Combat'!B306&lt;1,INT(10*'Equipment Combat'!B306)&amp;"L",INT('Equipment Combat'!B306)&amp;"B")))</f>
        <v/>
      </c>
      <c r="W51" s="1332" t="str">
        <f>IF('Equipment Combat'!B49="","",'Equipment Combat'!B49&amp;" ("&amp;'Equipment Combat'!B156&amp;")")</f>
        <v/>
      </c>
      <c r="X51" s="1333"/>
      <c r="Y51" s="1335"/>
      <c r="Z51" s="1333"/>
      <c r="AA51" s="716" t="str">
        <f>IF('Equipment Combat'!B102="","",'Equipment Combat'!B102)</f>
        <v/>
      </c>
      <c r="AB51" s="717" t="str">
        <f>IF('Equipment Combat'!B156="Stowed","["&amp;IF('Equipment Combat'!B263&lt;0.1,"",IF('Equipment Combat'!B263&lt;1,INT(10*'Equipment Combat'!B263)&amp;"L",INT('Equipment Combat'!B263)&amp;"B"))&amp;"]",IF('Equipment Combat'!B319&lt;0.1,"",IF('Equipment Combat'!B319&lt;1,INT(10*'Equipment Combat'!B319)&amp;"L",INT('Equipment Combat'!B319)&amp;"B")))</f>
        <v/>
      </c>
      <c r="AC51" s="637"/>
    </row>
    <row r="52" spans="1:29" ht="19.5" customHeight="1" x14ac:dyDescent="0.25">
      <c r="A52" s="656"/>
      <c r="B52" s="1332" t="str">
        <f>IF('Equipment Combat'!B11="","",'Equipment Combat'!B11&amp;" ("&amp;'Equipment Combat'!B118&amp;")")</f>
        <v>Rations (day) (Stowed)</v>
      </c>
      <c r="C52" s="1333"/>
      <c r="D52" s="1333"/>
      <c r="E52" s="1334"/>
      <c r="F52" s="1335"/>
      <c r="G52" s="716">
        <f>IF('Equipment Combat'!B64="","",'Equipment Combat'!B64)</f>
        <v>28</v>
      </c>
      <c r="H52" s="717" t="str">
        <f>IF('Equipment Combat'!B118="Stowed","["&amp;IF('Equipment Combat'!B225&lt;0.1,"",IF('Equipment Combat'!B225&lt;1,INT(10*'Equipment Combat'!B225)&amp;"L",INT('Equipment Combat'!B225)&amp;"B"))&amp;"]",IF('Equipment Combat'!B281&lt;0.1,"",IF('Equipment Combat'!B281&lt;1,INT(10*'Equipment Combat'!B281)&amp;"L",INT('Equipment Combat'!B281)&amp;"B")))</f>
        <v>[4L]</v>
      </c>
      <c r="I52" s="1332" t="str">
        <f>IF('Equipment Combat'!B24="","",'Equipment Combat'!B24&amp;" ("&amp;'Equipment Combat'!B131&amp;")")</f>
        <v>Religious Symbol (Gold, Dahak) (20gp) (Stowed)</v>
      </c>
      <c r="J52" s="1333"/>
      <c r="K52" s="1334"/>
      <c r="L52" s="1335"/>
      <c r="M52" s="1333"/>
      <c r="N52" s="716">
        <f>IF('Equipment Combat'!B77="","",'Equipment Combat'!B77)</f>
        <v>1</v>
      </c>
      <c r="O52" s="717" t="str">
        <f>IF('Equipment Combat'!B131="Stowed","["&amp;IF('Equipment Combat'!B238&lt;0.1,"",IF('Equipment Combat'!B238&lt;1,INT(10*'Equipment Combat'!B238)&amp;"L",INT('Equipment Combat'!B238)&amp;"B"))&amp;"]",IF('Equipment Combat'!B294&lt;0.1,"",IF('Equipment Combat'!B294&lt;1,INT(10*'Equipment Combat'!B294)&amp;"L",INT('Equipment Combat'!B294)&amp;"B")))</f>
        <v>[1L]</v>
      </c>
      <c r="P52" s="1332" t="str">
        <f>IF('Equipment Combat'!B37="","",'Equipment Combat'!B37&amp;" ("&amp;'Equipment Combat'!B144&amp;")")</f>
        <v/>
      </c>
      <c r="Q52" s="1333"/>
      <c r="R52" s="1334"/>
      <c r="S52" s="1335"/>
      <c r="T52" s="1333"/>
      <c r="U52" s="716" t="str">
        <f>IF('Equipment Combat'!B90="","",'Equipment Combat'!B90)</f>
        <v/>
      </c>
      <c r="V52" s="717" t="str">
        <f>IF('Equipment Combat'!B144="Stowed","["&amp;IF('Equipment Combat'!B251&lt;0.1,"",IF('Equipment Combat'!B251&lt;1,INT(10*'Equipment Combat'!B251)&amp;"L",INT('Equipment Combat'!B251)&amp;"B"))&amp;"]",IF('Equipment Combat'!B307&lt;0.1,"",IF('Equipment Combat'!B307&lt;1,INT(10*'Equipment Combat'!B307)&amp;"L",INT('Equipment Combat'!B307)&amp;"B")))</f>
        <v/>
      </c>
      <c r="W52" s="1332" t="str">
        <f>IF('Equipment Combat'!B50="","",'Equipment Combat'!B50&amp;" ("&amp;'Equipment Combat'!B157&amp;")")</f>
        <v/>
      </c>
      <c r="X52" s="1333"/>
      <c r="Y52" s="1335"/>
      <c r="Z52" s="1333"/>
      <c r="AA52" s="716" t="str">
        <f>IF('Equipment Combat'!B103="","",'Equipment Combat'!B103)</f>
        <v/>
      </c>
      <c r="AB52" s="717" t="str">
        <f>IF('Equipment Combat'!B157="Stowed","["&amp;IF('Equipment Combat'!B264&lt;0.1,"",IF('Equipment Combat'!B264&lt;1,INT(10*'Equipment Combat'!B264)&amp;"L",INT('Equipment Combat'!B264)&amp;"B"))&amp;"]",IF('Equipment Combat'!B320&lt;0.1,"",IF('Equipment Combat'!B320&lt;1,INT(10*'Equipment Combat'!B320)&amp;"L",INT('Equipment Combat'!B320)&amp;"B")))</f>
        <v/>
      </c>
      <c r="AC52" s="637"/>
    </row>
    <row r="53" spans="1:29" ht="19.5" customHeight="1" x14ac:dyDescent="0.25">
      <c r="A53" s="656"/>
      <c r="B53" s="1332" t="str">
        <f>IF('Equipment Combat'!B12="","",'Equipment Combat'!B12&amp;" ("&amp;'Equipment Combat'!B119&amp;")")</f>
        <v>Rope 50' (Stowed)</v>
      </c>
      <c r="C53" s="1333"/>
      <c r="D53" s="1333"/>
      <c r="E53" s="1334"/>
      <c r="F53" s="1335"/>
      <c r="G53" s="716">
        <f>IF('Equipment Combat'!B65="","",'Equipment Combat'!B65)</f>
        <v>1</v>
      </c>
      <c r="H53" s="717" t="str">
        <f>IF('Equipment Combat'!B119="Stowed","["&amp;IF('Equipment Combat'!B226&lt;0.1,"",IF('Equipment Combat'!B226&lt;1,INT(10*'Equipment Combat'!B226)&amp;"L",INT('Equipment Combat'!B226)&amp;"B"))&amp;"]",IF('Equipment Combat'!B282&lt;0.1,"",IF('Equipment Combat'!B282&lt;1,INT(10*'Equipment Combat'!B282)&amp;"L",INT('Equipment Combat'!B282)&amp;"B")))</f>
        <v>[1L]</v>
      </c>
      <c r="I53" s="1332" t="str">
        <f>IF('Equipment Combat'!B25="","",'Equipment Combat'!B25&amp;" ("&amp;'Equipment Combat'!B132&amp;")")</f>
        <v>Elixir of Life (Lesser) (Worn)</v>
      </c>
      <c r="J53" s="1333"/>
      <c r="K53" s="1334"/>
      <c r="L53" s="1335"/>
      <c r="M53" s="1333"/>
      <c r="N53" s="716">
        <f>IF('Equipment Combat'!B78="","",'Equipment Combat'!B78)</f>
        <v>1</v>
      </c>
      <c r="O53" s="717" t="str">
        <f>IF('Equipment Combat'!B132="Stowed","["&amp;IF('Equipment Combat'!B239&lt;0.1,"",IF('Equipment Combat'!B239&lt;1,INT(10*'Equipment Combat'!B239)&amp;"L",INT('Equipment Combat'!B239)&amp;"B"))&amp;"]",IF('Equipment Combat'!B295&lt;0.1,"",IF('Equipment Combat'!B295&lt;1,INT(10*'Equipment Combat'!B295)&amp;"L",INT('Equipment Combat'!B295)&amp;"B")))</f>
        <v>1L</v>
      </c>
      <c r="P53" s="1332" t="str">
        <f>IF('Equipment Combat'!B38="","",'Equipment Combat'!B38&amp;" ("&amp;'Equipment Combat'!B145&amp;")")</f>
        <v/>
      </c>
      <c r="Q53" s="1333"/>
      <c r="R53" s="1334"/>
      <c r="S53" s="1335"/>
      <c r="T53" s="1333"/>
      <c r="U53" s="716" t="str">
        <f>IF('Equipment Combat'!B91="","",'Equipment Combat'!B91)</f>
        <v/>
      </c>
      <c r="V53" s="717" t="str">
        <f>IF('Equipment Combat'!B145="Stowed","["&amp;IF('Equipment Combat'!B252&lt;0.1,"",IF('Equipment Combat'!B252&lt;1,INT(10*'Equipment Combat'!B252)&amp;"L",INT('Equipment Combat'!B252)&amp;"B"))&amp;"]",IF('Equipment Combat'!B308&lt;0.1,"",IF('Equipment Combat'!B308&lt;1,INT(10*'Equipment Combat'!B308)&amp;"L",INT('Equipment Combat'!B308)&amp;"B")))</f>
        <v/>
      </c>
      <c r="W53" s="1332" t="str">
        <f>IF('Equipment Combat'!B51="","",'Equipment Combat'!B51&amp;" ("&amp;'Equipment Combat'!B158&amp;")")</f>
        <v/>
      </c>
      <c r="X53" s="1333"/>
      <c r="Y53" s="1335"/>
      <c r="Z53" s="1333"/>
      <c r="AA53" s="716" t="str">
        <f>IF('Equipment Combat'!B104="","",'Equipment Combat'!B104)</f>
        <v/>
      </c>
      <c r="AB53" s="717" t="str">
        <f>IF('Equipment Combat'!B158="Stowed","["&amp;IF('Equipment Combat'!B265&lt;0.1,"",IF('Equipment Combat'!B265&lt;1,INT(10*'Equipment Combat'!B265)&amp;"L",INT('Equipment Combat'!B265)&amp;"B"))&amp;"]",IF('Equipment Combat'!B321&lt;0.1,"",IF('Equipment Combat'!B321&lt;1,INT(10*'Equipment Combat'!B321)&amp;"L",INT('Equipment Combat'!B321)&amp;"B")))</f>
        <v/>
      </c>
      <c r="AC53" s="637"/>
    </row>
    <row r="54" spans="1:29" ht="19.5" customHeight="1" x14ac:dyDescent="0.25">
      <c r="A54" s="656"/>
      <c r="B54" s="1332" t="str">
        <f>IF('Equipment Combat'!B13="","",'Equipment Combat'!B13&amp;" ("&amp;'Equipment Combat'!B120&amp;")")</f>
        <v>Soap (Stowed)</v>
      </c>
      <c r="C54" s="1333"/>
      <c r="D54" s="1333"/>
      <c r="E54" s="1334"/>
      <c r="F54" s="1335"/>
      <c r="G54" s="716">
        <f>IF('Equipment Combat'!B66="","",'Equipment Combat'!B66)</f>
        <v>1</v>
      </c>
      <c r="H54" s="717" t="str">
        <f>IF('Equipment Combat'!B120="Stowed","["&amp;IF('Equipment Combat'!B227&lt;0.1,"",IF('Equipment Combat'!B227&lt;1,INT(10*'Equipment Combat'!B227)&amp;"L",INT('Equipment Combat'!B227)&amp;"B"))&amp;"]",IF('Equipment Combat'!B283&lt;0.1,"",IF('Equipment Combat'!B283&lt;1,INT(10*'Equipment Combat'!B283)&amp;"L",INT('Equipment Combat'!B283)&amp;"B")))</f>
        <v>[]</v>
      </c>
      <c r="I54" s="1332" t="str">
        <f>IF('Equipment Combat'!B26="","",'Equipment Combat'!B26&amp;" ("&amp;'Equipment Combat'!B133&amp;")")</f>
        <v>Antiplague (Lesser) (Worn)</v>
      </c>
      <c r="J54" s="1333"/>
      <c r="K54" s="1334"/>
      <c r="L54" s="1335"/>
      <c r="M54" s="1333"/>
      <c r="N54" s="716">
        <f>IF('Equipment Combat'!B79="","",'Equipment Combat'!B79)</f>
        <v>1</v>
      </c>
      <c r="O54" s="717" t="str">
        <f>IF('Equipment Combat'!B133="Stowed","["&amp;IF('Equipment Combat'!B240&lt;0.1,"",IF('Equipment Combat'!B240&lt;1,INT(10*'Equipment Combat'!B240)&amp;"L",INT('Equipment Combat'!B240)&amp;"B"))&amp;"]",IF('Equipment Combat'!B296&lt;0.1,"",IF('Equipment Combat'!B296&lt;1,INT(10*'Equipment Combat'!B296)&amp;"L",INT('Equipment Combat'!B296)&amp;"B")))</f>
        <v>1L</v>
      </c>
      <c r="P54" s="1332" t="str">
        <f>IF('Equipment Combat'!B39="","",'Equipment Combat'!B39&amp;" ("&amp;'Equipment Combat'!B146&amp;")")</f>
        <v/>
      </c>
      <c r="Q54" s="1333"/>
      <c r="R54" s="1334"/>
      <c r="S54" s="1335"/>
      <c r="T54" s="1333"/>
      <c r="U54" s="716" t="str">
        <f>IF('Equipment Combat'!B92="","",'Equipment Combat'!B92)</f>
        <v/>
      </c>
      <c r="V54" s="717" t="str">
        <f>IF('Equipment Combat'!B146="Stowed","["&amp;IF('Equipment Combat'!B253&lt;0.1,"",IF('Equipment Combat'!B253&lt;1,INT(10*'Equipment Combat'!B253)&amp;"L",INT('Equipment Combat'!B253)&amp;"B"))&amp;"]",IF('Equipment Combat'!B309&lt;0.1,"",IF('Equipment Combat'!B309&lt;1,INT(10*'Equipment Combat'!B309)&amp;"L",INT('Equipment Combat'!B309)&amp;"B")))</f>
        <v/>
      </c>
      <c r="W54" s="1332" t="str">
        <f>IF('Equipment Combat'!B52="","",'Equipment Combat'!B52&amp;" ("&amp;'Equipment Combat'!B159&amp;")")</f>
        <v/>
      </c>
      <c r="X54" s="1333"/>
      <c r="Y54" s="1335"/>
      <c r="Z54" s="1333"/>
      <c r="AA54" s="716" t="str">
        <f>IF('Equipment Combat'!B105="","",'Equipment Combat'!B105)</f>
        <v/>
      </c>
      <c r="AB54" s="717" t="str">
        <f>IF('Equipment Combat'!B159="Stowed","["&amp;IF('Equipment Combat'!B266&lt;0.1,"",IF('Equipment Combat'!B266&lt;1,INT(10*'Equipment Combat'!B266)&amp;"L",INT('Equipment Combat'!B266)&amp;"B"))&amp;"]",IF('Equipment Combat'!B322&lt;0.1,"",IF('Equipment Combat'!B322&lt;1,INT(10*'Equipment Combat'!B322)&amp;"L",INT('Equipment Combat'!B322)&amp;"B")))</f>
        <v/>
      </c>
      <c r="AC54" s="637"/>
    </row>
    <row r="55" spans="1:29" ht="19.5" customHeight="1" x14ac:dyDescent="0.25">
      <c r="A55" s="656"/>
      <c r="B55" s="1332" t="str">
        <f>IF('Equipment Combat'!B14="","",'Equipment Combat'!B14&amp;" ("&amp;'Equipment Combat'!B121&amp;")")</f>
        <v>Torch (Stowed)</v>
      </c>
      <c r="C55" s="1333"/>
      <c r="D55" s="1333"/>
      <c r="E55" s="1334"/>
      <c r="F55" s="1335"/>
      <c r="G55" s="716">
        <f>IF('Equipment Combat'!B67="","",'Equipment Combat'!B67)</f>
        <v>5</v>
      </c>
      <c r="H55" s="717" t="str">
        <f>IF('Equipment Combat'!B121="Stowed","["&amp;IF('Equipment Combat'!B228&lt;0.1,"",IF('Equipment Combat'!B228&lt;1,INT(10*'Equipment Combat'!B228)&amp;"L",INT('Equipment Combat'!B228)&amp;"B"))&amp;"]",IF('Equipment Combat'!B284&lt;0.1,"",IF('Equipment Combat'!B284&lt;1,INT(10*'Equipment Combat'!B284)&amp;"L",INT('Equipment Combat'!B284)&amp;"B")))</f>
        <v>[5L]</v>
      </c>
      <c r="I55" s="1332" t="str">
        <f>IF('Equipment Combat'!B27="","",'Equipment Combat'!B27&amp;" ("&amp;'Equipment Combat'!B134&amp;")")</f>
        <v/>
      </c>
      <c r="J55" s="1333"/>
      <c r="K55" s="1334"/>
      <c r="L55" s="1335"/>
      <c r="M55" s="1333"/>
      <c r="N55" s="716" t="str">
        <f>IF('Equipment Combat'!B80="","",'Equipment Combat'!B80)</f>
        <v/>
      </c>
      <c r="O55" s="717" t="str">
        <f>IF('Equipment Combat'!B134="Stowed","["&amp;IF('Equipment Combat'!B241&lt;0.1,"",IF('Equipment Combat'!B241&lt;1,INT(10*'Equipment Combat'!B241)&amp;"L",INT('Equipment Combat'!B241)&amp;"B"))&amp;"]",IF('Equipment Combat'!B297&lt;0.1,"",IF('Equipment Combat'!B297&lt;1,INT(10*'Equipment Combat'!B297)&amp;"L",INT('Equipment Combat'!B297)&amp;"B")))</f>
        <v/>
      </c>
      <c r="P55" s="1332" t="str">
        <f>IF('Equipment Combat'!B40="","",'Equipment Combat'!B40&amp;" ("&amp;'Equipment Combat'!B147&amp;")")</f>
        <v/>
      </c>
      <c r="Q55" s="1333"/>
      <c r="R55" s="1334"/>
      <c r="S55" s="1335"/>
      <c r="T55" s="1333"/>
      <c r="U55" s="716" t="str">
        <f>IF('Equipment Combat'!B93="","",'Equipment Combat'!B93)</f>
        <v/>
      </c>
      <c r="V55" s="717" t="str">
        <f>IF('Equipment Combat'!B147="Stowed","["&amp;IF('Equipment Combat'!B254&lt;0.1,"",IF('Equipment Combat'!B254&lt;1,INT(10*'Equipment Combat'!B254)&amp;"L",INT('Equipment Combat'!B254)&amp;"B"))&amp;"]",IF('Equipment Combat'!B310&lt;0.1,"",IF('Equipment Combat'!B310&lt;1,INT(10*'Equipment Combat'!B310)&amp;"L",INT('Equipment Combat'!B310)&amp;"B")))</f>
        <v/>
      </c>
      <c r="W55" s="1332" t="str">
        <f>IF('Equipment Combat'!B53="","",'Equipment Combat'!B53&amp;" ("&amp;'Equipment Combat'!B160&amp;")")</f>
        <v/>
      </c>
      <c r="X55" s="1333"/>
      <c r="Y55" s="1335"/>
      <c r="Z55" s="1333"/>
      <c r="AA55" s="716" t="str">
        <f>IF('Equipment Combat'!B106="","",'Equipment Combat'!B106)</f>
        <v/>
      </c>
      <c r="AB55" s="717" t="str">
        <f>IF('Equipment Combat'!B160="Stowed","["&amp;IF('Equipment Combat'!B267&lt;0.1,"",IF('Equipment Combat'!B267&lt;1,INT(10*'Equipment Combat'!B267)&amp;"L",INT('Equipment Combat'!B267)&amp;"B"))&amp;"]",IF('Equipment Combat'!B323&lt;0.1,"",IF('Equipment Combat'!B323&lt;1,INT(10*'Equipment Combat'!B323)&amp;"L",INT('Equipment Combat'!B323)&amp;"B")))</f>
        <v/>
      </c>
      <c r="AC55" s="637"/>
    </row>
    <row r="56" spans="1:29" ht="19.5" customHeight="1" x14ac:dyDescent="0.25">
      <c r="A56" s="656"/>
      <c r="B56" s="1332" t="str">
        <f>IF('Equipment Combat'!B15="","",'Equipment Combat'!B15&amp;" ("&amp;'Equipment Combat'!B122&amp;")")</f>
        <v>Waterskin (Stowed)</v>
      </c>
      <c r="C56" s="1333"/>
      <c r="D56" s="1333"/>
      <c r="E56" s="1334"/>
      <c r="F56" s="1335"/>
      <c r="G56" s="716">
        <f>IF('Equipment Combat'!B68="","",'Equipment Combat'!B68)</f>
        <v>1</v>
      </c>
      <c r="H56" s="717" t="str">
        <f>IF('Equipment Combat'!B122="Stowed","["&amp;IF('Equipment Combat'!B229&lt;0.1,"",IF('Equipment Combat'!B229&lt;1,INT(10*'Equipment Combat'!B229)&amp;"L",INT('Equipment Combat'!B229)&amp;"B"))&amp;"]",IF('Equipment Combat'!B285&lt;0.1,"",IF('Equipment Combat'!B285&lt;1,INT(10*'Equipment Combat'!B285)&amp;"L",INT('Equipment Combat'!B285)&amp;"B")))</f>
        <v>[1L]</v>
      </c>
      <c r="I56" s="1332" t="str">
        <f>IF('Equipment Combat'!B28="","",'Equipment Combat'!B28&amp;" ("&amp;'Equipment Combat'!B135&amp;")")</f>
        <v/>
      </c>
      <c r="J56" s="1333"/>
      <c r="K56" s="1334"/>
      <c r="L56" s="1335"/>
      <c r="M56" s="1333"/>
      <c r="N56" s="716" t="str">
        <f>IF('Equipment Combat'!B81="","",'Equipment Combat'!B81)</f>
        <v/>
      </c>
      <c r="O56" s="717" t="str">
        <f>IF('Equipment Combat'!B135="Stowed","["&amp;IF('Equipment Combat'!B242&lt;0.1,"",IF('Equipment Combat'!B242&lt;1,INT(10*'Equipment Combat'!B242)&amp;"L",INT('Equipment Combat'!B242)&amp;"B"))&amp;"]",IF('Equipment Combat'!B298&lt;0.1,"",IF('Equipment Combat'!B298&lt;1,INT(10*'Equipment Combat'!B298)&amp;"L",INT('Equipment Combat'!B298)&amp;"B")))</f>
        <v/>
      </c>
      <c r="P56" s="1332" t="str">
        <f>IF('Equipment Combat'!B41="","",'Equipment Combat'!B41&amp;" ("&amp;'Equipment Combat'!B148&amp;")")</f>
        <v/>
      </c>
      <c r="Q56" s="1333"/>
      <c r="R56" s="1334"/>
      <c r="S56" s="1335"/>
      <c r="T56" s="1333"/>
      <c r="U56" s="716" t="str">
        <f>IF('Equipment Combat'!B94="","",'Equipment Combat'!B94)</f>
        <v/>
      </c>
      <c r="V56" s="717" t="str">
        <f>IF('Equipment Combat'!B148="Stowed","["&amp;IF('Equipment Combat'!B255&lt;0.1,"",IF('Equipment Combat'!B255&lt;1,INT(10*'Equipment Combat'!B255)&amp;"L",INT('Equipment Combat'!B255)&amp;"B"))&amp;"]",IF('Equipment Combat'!B311&lt;0.1,"",IF('Equipment Combat'!B311&lt;1,INT(10*'Equipment Combat'!B311)&amp;"L",INT('Equipment Combat'!B311)&amp;"B")))</f>
        <v/>
      </c>
      <c r="W56" s="1332" t="str">
        <f>IF('Equipment Combat'!B54="","",'Equipment Combat'!B54&amp;" ("&amp;'Equipment Combat'!B161&amp;")")</f>
        <v/>
      </c>
      <c r="X56" s="1333"/>
      <c r="Y56" s="1335"/>
      <c r="Z56" s="1333"/>
      <c r="AA56" s="716" t="str">
        <f>IF('Equipment Combat'!B107="","",'Equipment Combat'!B107)</f>
        <v/>
      </c>
      <c r="AB56" s="717" t="str">
        <f>IF('Equipment Combat'!B161="Stowed","["&amp;IF('Equipment Combat'!B268&lt;0.1,"",IF('Equipment Combat'!B268&lt;1,INT(10*'Equipment Combat'!B268)&amp;"L",INT('Equipment Combat'!B268)&amp;"B"))&amp;"]",IF('Equipment Combat'!B324&lt;0.1,"",IF('Equipment Combat'!B324&lt;1,INT(10*'Equipment Combat'!B324)&amp;"L",INT('Equipment Combat'!B324)&amp;"B")))</f>
        <v/>
      </c>
      <c r="AC56" s="637"/>
    </row>
    <row r="57" spans="1:29" ht="19.5" customHeight="1" x14ac:dyDescent="0.25">
      <c r="A57" s="656"/>
      <c r="B57" s="1332" t="str">
        <f>IF('Equipment Combat'!B16="","",'Equipment Combat'!B16&amp;" ("&amp;'Equipment Combat'!B123&amp;")")</f>
        <v>Longspear (1d8 2H) (Held)</v>
      </c>
      <c r="C57" s="1333"/>
      <c r="D57" s="1333"/>
      <c r="E57" s="1334"/>
      <c r="F57" s="1335"/>
      <c r="G57" s="716">
        <f>IF('Equipment Combat'!B69="","",'Equipment Combat'!B69)</f>
        <v>1</v>
      </c>
      <c r="H57" s="717" t="str">
        <f>IF('Equipment Combat'!B123="Stowed","["&amp;IF('Equipment Combat'!B230&lt;0.1,"",IF('Equipment Combat'!B230&lt;1,INT(10*'Equipment Combat'!B230)&amp;"L",INT('Equipment Combat'!B230)&amp;"B"))&amp;"]",IF('Equipment Combat'!B286&lt;0.1,"",IF('Equipment Combat'!B286&lt;1,INT(10*'Equipment Combat'!B286)&amp;"L",INT('Equipment Combat'!B286)&amp;"B")))</f>
        <v>2B</v>
      </c>
      <c r="I57" s="1332" t="str">
        <f>IF('Equipment Combat'!B29="","",'Equipment Combat'!B29&amp;" ("&amp;'Equipment Combat'!B136&amp;")")</f>
        <v/>
      </c>
      <c r="J57" s="1333"/>
      <c r="K57" s="1334"/>
      <c r="L57" s="1335"/>
      <c r="M57" s="1333"/>
      <c r="N57" s="716" t="str">
        <f>IF('Equipment Combat'!B82="","",'Equipment Combat'!B82)</f>
        <v/>
      </c>
      <c r="O57" s="717" t="str">
        <f>IF('Equipment Combat'!B136="Stowed","["&amp;IF('Equipment Combat'!B243&lt;0.1,"",IF('Equipment Combat'!B243&lt;1,INT(10*'Equipment Combat'!B243)&amp;"L",INT('Equipment Combat'!B243)&amp;"B"))&amp;"]",IF('Equipment Combat'!B299&lt;0.1,"",IF('Equipment Combat'!B299&lt;1,INT(10*'Equipment Combat'!B299)&amp;"L",INT('Equipment Combat'!B299)&amp;"B")))</f>
        <v/>
      </c>
      <c r="P57" s="1332" t="str">
        <f>IF('Equipment Combat'!B42="","",'Equipment Combat'!B42&amp;" ("&amp;'Equipment Combat'!B149&amp;")")</f>
        <v/>
      </c>
      <c r="Q57" s="1333"/>
      <c r="R57" s="1334"/>
      <c r="S57" s="1335"/>
      <c r="T57" s="1333"/>
      <c r="U57" s="716" t="str">
        <f>IF('Equipment Combat'!B95="","",'Equipment Combat'!B95)</f>
        <v/>
      </c>
      <c r="V57" s="717" t="str">
        <f>IF('Equipment Combat'!B149="Stowed","["&amp;IF('Equipment Combat'!B256&lt;0.1,"",IF('Equipment Combat'!B256&lt;1,INT(10*'Equipment Combat'!B256)&amp;"L",INT('Equipment Combat'!B256)&amp;"B"))&amp;"]",IF('Equipment Combat'!B312&lt;0.1,"",IF('Equipment Combat'!B312&lt;1,INT(10*'Equipment Combat'!B312)&amp;"L",INT('Equipment Combat'!B312)&amp;"B")))</f>
        <v/>
      </c>
      <c r="W57" s="1332" t="str">
        <f>IF('Equipment Combat'!B55="","",'Equipment Combat'!B55&amp;" ("&amp;'Equipment Combat'!B162&amp;")")</f>
        <v/>
      </c>
      <c r="X57" s="1333"/>
      <c r="Y57" s="1335"/>
      <c r="Z57" s="1333"/>
      <c r="AA57" s="716" t="str">
        <f>IF('Equipment Combat'!B108="","",'Equipment Combat'!B108)</f>
        <v/>
      </c>
      <c r="AB57" s="717" t="str">
        <f>IF('Equipment Combat'!B162="Stowed","["&amp;IF('Equipment Combat'!B269&lt;0.1,"",IF('Equipment Combat'!B269&lt;1,INT(10*'Equipment Combat'!B269)&amp;"L",INT('Equipment Combat'!B269)&amp;"B"))&amp;"]",IF('Equipment Combat'!B325&lt;0.1,"",IF('Equipment Combat'!B325&lt;1,INT(10*'Equipment Combat'!B325)&amp;"L",INT('Equipment Combat'!B325)&amp;"B")))</f>
        <v/>
      </c>
      <c r="AC57" s="637"/>
    </row>
    <row r="58" spans="1:29" ht="19.5" customHeight="1" x14ac:dyDescent="0.25">
      <c r="A58" s="656"/>
      <c r="B58" s="1332" t="str">
        <f>IF('Equipment Combat'!B17="","",'Equipment Combat'!B17&amp;" ("&amp;'Equipment Combat'!B124&amp;")")</f>
        <v>+1 Leather Armor (+2 M4 -1/10) (Worn)</v>
      </c>
      <c r="C58" s="1333"/>
      <c r="D58" s="1333"/>
      <c r="E58" s="1333"/>
      <c r="F58" s="1335"/>
      <c r="G58" s="716">
        <f>IF('Equipment Combat'!B70="","",'Equipment Combat'!B70)</f>
        <v>1</v>
      </c>
      <c r="H58" s="717" t="str">
        <f>IF('Equipment Combat'!B124="Stowed","["&amp;IF('Equipment Combat'!B231&lt;0.1,"",IF('Equipment Combat'!B231&lt;1,INT(10*'Equipment Combat'!B231)&amp;"L",INT('Equipment Combat'!B231)&amp;"B"))&amp;"]",IF('Equipment Combat'!B287&lt;0.1,"",IF('Equipment Combat'!B287&lt;1,INT(10*'Equipment Combat'!B287)&amp;"L",INT('Equipment Combat'!B287)&amp;"B")))</f>
        <v>1B</v>
      </c>
      <c r="I58" s="1332" t="str">
        <f>IF('Equipment Combat'!B30="","",'Equipment Combat'!B30&amp;" ("&amp;'Equipment Combat'!B137&amp;")")</f>
        <v/>
      </c>
      <c r="J58" s="1333"/>
      <c r="K58" s="1333"/>
      <c r="L58" s="1335"/>
      <c r="M58" s="1333"/>
      <c r="N58" s="716" t="str">
        <f>IF('Equipment Combat'!B83="","",'Equipment Combat'!B83)</f>
        <v/>
      </c>
      <c r="O58" s="717" t="str">
        <f>IF('Equipment Combat'!B137="Stowed","["&amp;IF('Equipment Combat'!B244&lt;0.1,"",IF('Equipment Combat'!B244&lt;1,INT(10*'Equipment Combat'!B244)&amp;"L",INT('Equipment Combat'!B244)&amp;"B"))&amp;"]",IF('Equipment Combat'!B300&lt;0.1,"",IF('Equipment Combat'!B300&lt;1,INT(10*'Equipment Combat'!B300)&amp;"L",INT('Equipment Combat'!B300)&amp;"B")))</f>
        <v/>
      </c>
      <c r="P58" s="1332" t="str">
        <f>IF('Equipment Combat'!B43="","",'Equipment Combat'!B43&amp;" ("&amp;'Equipment Combat'!B150&amp;")")</f>
        <v/>
      </c>
      <c r="Q58" s="1333"/>
      <c r="R58" s="1333"/>
      <c r="S58" s="1335"/>
      <c r="T58" s="1333"/>
      <c r="U58" s="716" t="str">
        <f>IF('Equipment Combat'!B96="","",'Equipment Combat'!B96)</f>
        <v/>
      </c>
      <c r="V58" s="717" t="str">
        <f>IF('Equipment Combat'!B150="Stowed","["&amp;IF('Equipment Combat'!B257&lt;0.1,"",IF('Equipment Combat'!B257&lt;1,INT(10*'Equipment Combat'!B257)&amp;"L",INT('Equipment Combat'!B257)&amp;"B"))&amp;"]",IF('Equipment Combat'!B313&lt;0.1,"",IF('Equipment Combat'!B313&lt;1,INT(10*'Equipment Combat'!B313)&amp;"L",INT('Equipment Combat'!B313)&amp;"B")))</f>
        <v/>
      </c>
      <c r="W58" s="1332" t="str">
        <f>IF('Equipment Combat'!B56="","",'Equipment Combat'!B56&amp;" ("&amp;'Equipment Combat'!B163&amp;")")</f>
        <v/>
      </c>
      <c r="X58" s="1333"/>
      <c r="Y58" s="1335"/>
      <c r="Z58" s="1333"/>
      <c r="AA58" s="716" t="str">
        <f>IF('Equipment Combat'!B109="","",'Equipment Combat'!B109)</f>
        <v/>
      </c>
      <c r="AB58" s="717" t="str">
        <f>IF('Equipment Combat'!B163="Stowed","["&amp;IF('Equipment Combat'!B270&lt;0.1,"",IF('Equipment Combat'!B270&lt;1,INT(10*'Equipment Combat'!B270)&amp;"L",INT('Equipment Combat'!B270)&amp;"B"))&amp;"]",IF('Equipment Combat'!B326&lt;0.1,"",IF('Equipment Combat'!B326&lt;1,INT(10*'Equipment Combat'!B326)&amp;"L",INT('Equipment Combat'!B326)&amp;"B")))</f>
        <v/>
      </c>
      <c r="AC58" s="637"/>
    </row>
    <row r="59" spans="1:29" ht="19.5" customHeight="1" x14ac:dyDescent="0.25">
      <c r="A59" s="656"/>
      <c r="B59" s="1332" t="str">
        <f>IF('Equipment Combat'!B18="","",'Equipment Combat'!B18&amp;" ("&amp;'Equipment Combat'!B125&amp;")")</f>
        <v>Holly and Mistletoe (Worn)</v>
      </c>
      <c r="C59" s="1333"/>
      <c r="D59" s="1333"/>
      <c r="E59" s="1333"/>
      <c r="F59" s="1335"/>
      <c r="G59" s="716">
        <f>IF('Equipment Combat'!B71="","",'Equipment Combat'!B71)</f>
        <v>1</v>
      </c>
      <c r="H59" s="717" t="str">
        <f>IF('Equipment Combat'!B125="Stowed","["&amp;IF('Equipment Combat'!B232&lt;0.1,"",IF('Equipment Combat'!B232&lt;1,INT(10*'Equipment Combat'!B232)&amp;"L",INT('Equipment Combat'!B232)&amp;"B"))&amp;"]",IF('Equipment Combat'!B288&lt;0.1,"",IF('Equipment Combat'!B288&lt;1,INT(10*'Equipment Combat'!B288)&amp;"L",INT('Equipment Combat'!B288)&amp;"B")))</f>
        <v/>
      </c>
      <c r="I59" s="1332" t="str">
        <f>IF('Equipment Combat'!B31="","",'Equipment Combat'!B31&amp;" ("&amp;'Equipment Combat'!B138&amp;")")</f>
        <v/>
      </c>
      <c r="J59" s="1333"/>
      <c r="K59" s="1333"/>
      <c r="L59" s="1335"/>
      <c r="M59" s="1333"/>
      <c r="N59" s="716" t="str">
        <f>IF('Equipment Combat'!B84="","",'Equipment Combat'!B84)</f>
        <v/>
      </c>
      <c r="O59" s="717" t="str">
        <f>IF('Equipment Combat'!B138="Stowed","["&amp;IF('Equipment Combat'!B245&lt;0.1,"",IF('Equipment Combat'!B245&lt;1,INT(10*'Equipment Combat'!B245)&amp;"L",INT('Equipment Combat'!B245)&amp;"B"))&amp;"]",IF('Equipment Combat'!B301&lt;0.1,"",IF('Equipment Combat'!B301&lt;1,INT(10*'Equipment Combat'!B301)&amp;"L",INT('Equipment Combat'!B301)&amp;"B")))</f>
        <v/>
      </c>
      <c r="P59" s="1332" t="str">
        <f>IF('Equipment Combat'!B44="","",'Equipment Combat'!B44&amp;" ("&amp;'Equipment Combat'!B151&amp;")")</f>
        <v/>
      </c>
      <c r="Q59" s="1333"/>
      <c r="R59" s="1333"/>
      <c r="S59" s="1335"/>
      <c r="T59" s="1333"/>
      <c r="U59" s="716" t="str">
        <f>IF('Equipment Combat'!B97="","",'Equipment Combat'!B97)</f>
        <v/>
      </c>
      <c r="V59" s="717" t="str">
        <f>IF('Equipment Combat'!B151="Stowed","["&amp;IF('Equipment Combat'!B258&lt;0.1,"",IF('Equipment Combat'!B258&lt;1,INT(10*'Equipment Combat'!B258)&amp;"L",INT('Equipment Combat'!B258)&amp;"B"))&amp;"]",IF('Equipment Combat'!B314&lt;0.1,"",IF('Equipment Combat'!B314&lt;1,INT(10*'Equipment Combat'!B314)&amp;"L",INT('Equipment Combat'!B314)&amp;"B")))</f>
        <v/>
      </c>
      <c r="W59" s="1332" t="str">
        <f>IF('Equipment Combat'!B57="","",'Equipment Combat'!B57&amp;" ("&amp;'Equipment Combat'!B164&amp;")")</f>
        <v/>
      </c>
      <c r="X59" s="1333"/>
      <c r="Y59" s="1335"/>
      <c r="Z59" s="1333"/>
      <c r="AA59" s="716" t="str">
        <f>IF('Equipment Combat'!B110="","",'Equipment Combat'!B110)</f>
        <v/>
      </c>
      <c r="AB59" s="717" t="str">
        <f>IF('Equipment Combat'!B164="Stowed","["&amp;IF('Equipment Combat'!B271&lt;0.1,"",IF('Equipment Combat'!B271&lt;1,INT(10*'Equipment Combat'!B271)&amp;"L",INT('Equipment Combat'!B271)&amp;"B"))&amp;"]",IF('Equipment Combat'!B327&lt;0.1,"",IF('Equipment Combat'!B327&lt;1,INT(10*'Equipment Combat'!B327)&amp;"L",INT('Equipment Combat'!B327)&amp;"B")))</f>
        <v/>
      </c>
      <c r="AC59" s="637"/>
    </row>
    <row r="60" spans="1:29" ht="19.5" customHeight="1" x14ac:dyDescent="0.25">
      <c r="A60" s="656"/>
      <c r="B60" s="1336" t="str">
        <f>IF('Equipment Combat'!B19="","",'Equipment Combat'!B19&amp;" ("&amp;'Equipment Combat'!B126&amp;")")</f>
        <v>Cheetah's Elixir (Worn)</v>
      </c>
      <c r="C60" s="1337"/>
      <c r="D60" s="1337"/>
      <c r="E60" s="1337"/>
      <c r="F60" s="1338"/>
      <c r="G60" s="915">
        <f>IF('Equipment Combat'!B72="","",'Equipment Combat'!B72)</f>
        <v>1</v>
      </c>
      <c r="H60" s="916" t="str">
        <f>IF('Equipment Combat'!B126="Stowed","["&amp;IF('Equipment Combat'!B233&lt;0.1,"",IF('Equipment Combat'!B233&lt;1,INT(10*'Equipment Combat'!B233)&amp;"L",INT('Equipment Combat'!B233)&amp;"B"))&amp;"]",IF('Equipment Combat'!B289&lt;0.1,"",IF('Equipment Combat'!B289&lt;1,INT(10*'Equipment Combat'!B289)&amp;"L",INT('Equipment Combat'!B289)&amp;"B")))</f>
        <v>1L</v>
      </c>
      <c r="I60" s="1336" t="str">
        <f>IF('Equipment Combat'!B32="","",'Equipment Combat'!B32&amp;" ("&amp;'Equipment Combat'!B139&amp;")")</f>
        <v/>
      </c>
      <c r="J60" s="1337"/>
      <c r="K60" s="1337"/>
      <c r="L60" s="1338"/>
      <c r="M60" s="1337"/>
      <c r="N60" s="915" t="str">
        <f>IF('Equipment Combat'!B85="","",'Equipment Combat'!B85)</f>
        <v/>
      </c>
      <c r="O60" s="916" t="str">
        <f>IF('Equipment Combat'!B139="Stowed","["&amp;IF('Equipment Combat'!B246&lt;0.1,"",IF('Equipment Combat'!B246&lt;1,INT(10*'Equipment Combat'!B246)&amp;"L",INT('Equipment Combat'!B246)&amp;"B"))&amp;"]",IF('Equipment Combat'!B302&lt;0.1,"",IF('Equipment Combat'!B302&lt;1,INT(10*'Equipment Combat'!B302)&amp;"L",INT('Equipment Combat'!B302)&amp;"B")))</f>
        <v/>
      </c>
      <c r="P60" s="1336" t="str">
        <f>IF('Equipment Combat'!B45="","",'Equipment Combat'!B45&amp;" ("&amp;'Equipment Combat'!B152&amp;")")</f>
        <v/>
      </c>
      <c r="Q60" s="1337"/>
      <c r="R60" s="1337"/>
      <c r="S60" s="1338"/>
      <c r="T60" s="1337"/>
      <c r="U60" s="915" t="str">
        <f>IF('Equipment Combat'!B98="","",'Equipment Combat'!B98)</f>
        <v/>
      </c>
      <c r="V60" s="916" t="str">
        <f>IF('Equipment Combat'!B152="Stowed","["&amp;IF('Equipment Combat'!B259&lt;0.1,"",IF('Equipment Combat'!B259&lt;1,INT(10*'Equipment Combat'!B259)&amp;"L",INT('Equipment Combat'!B259)&amp;"B"))&amp;"]",IF('Equipment Combat'!B315&lt;0.1,"",IF('Equipment Combat'!B315&lt;1,INT(10*'Equipment Combat'!B315)&amp;"L",INT('Equipment Combat'!B315)&amp;"B")))</f>
        <v/>
      </c>
      <c r="W60" s="1336" t="str">
        <f>IF('Equipment Combat'!B58="","",'Equipment Combat'!B58&amp;" ("&amp;'Equipment Combat'!B165&amp;")")</f>
        <v/>
      </c>
      <c r="X60" s="1337"/>
      <c r="Y60" s="1338"/>
      <c r="Z60" s="1337"/>
      <c r="AA60" s="915" t="str">
        <f>IF('Equipment Combat'!B111="","",'Equipment Combat'!B111)</f>
        <v/>
      </c>
      <c r="AB60" s="916" t="str">
        <f>IF('Equipment Combat'!B165="Stowed","["&amp;IF('Equipment Combat'!B272&lt;0.1,"",IF('Equipment Combat'!B272&lt;1,INT(10*'Equipment Combat'!B272)&amp;"L",INT('Equipment Combat'!B272)&amp;"B"))&amp;"]",IF('Equipment Combat'!B328&lt;0.1,"",IF('Equipment Combat'!B328&lt;1,INT(10*'Equipment Combat'!B328)&amp;"L",INT('Equipment Combat'!B328)&amp;"B")))</f>
        <v/>
      </c>
      <c r="AC60" s="637"/>
    </row>
    <row r="61" spans="1:29"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490"/>
      <c r="T61" s="490"/>
      <c r="U61" s="490"/>
      <c r="W61" s="490"/>
      <c r="X61" s="490"/>
      <c r="Y61" s="490"/>
      <c r="Z61" s="490"/>
      <c r="AA61" s="490"/>
      <c r="AB61" s="490"/>
      <c r="AC61" s="637"/>
    </row>
    <row r="62" spans="1:29" ht="19.5" customHeight="1" x14ac:dyDescent="0.3">
      <c r="A62" s="656"/>
      <c r="B62" s="718">
        <f>'Equipment Combat'!B3</f>
        <v>0</v>
      </c>
      <c r="C62" s="719">
        <f>'Equipment Combat'!B4</f>
        <v>26</v>
      </c>
      <c r="D62" s="719">
        <f>'Equipment Combat'!B5</f>
        <v>78</v>
      </c>
      <c r="E62" s="720">
        <f>'Equipment Combat'!B6</f>
        <v>1</v>
      </c>
      <c r="F62" s="640"/>
      <c r="G62" s="772">
        <f>'Equipment Combat'!B329</f>
        <v>3</v>
      </c>
      <c r="H62" s="454"/>
      <c r="I62" s="451">
        <f>5+K62</f>
        <v>5</v>
      </c>
      <c r="J62" s="453" t="s">
        <v>512</v>
      </c>
      <c r="K62" s="452">
        <f>'Equipment Combat'!B331</f>
        <v>0</v>
      </c>
      <c r="L62" s="454"/>
      <c r="M62" s="451">
        <f>10+O62</f>
        <v>10</v>
      </c>
      <c r="N62" s="453" t="s">
        <v>513</v>
      </c>
      <c r="O62" s="452">
        <f>K62</f>
        <v>0</v>
      </c>
      <c r="P62" s="454"/>
      <c r="Q62" s="644" t="s">
        <v>505</v>
      </c>
      <c r="R62" s="1544" t="str">
        <f>'Equipment Combat'!B333</f>
        <v>Fine</v>
      </c>
      <c r="S62" s="1545"/>
      <c r="T62" s="1545"/>
      <c r="U62" s="1545"/>
      <c r="V62" s="1545"/>
      <c r="W62" s="1546"/>
      <c r="X62" s="1544" t="str">
        <f>'Equipment Combat'!B274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IF(Feats!B5="","",Feats!B5)</f>
        <v>Burn It !</v>
      </c>
      <c r="C65" s="1411"/>
      <c r="D65" s="1411"/>
      <c r="E65" s="1411"/>
      <c r="F65" s="1411"/>
      <c r="G65" s="1411"/>
      <c r="H65" s="1411"/>
      <c r="I65" s="1411"/>
      <c r="J65" s="1411" t="str">
        <f>IF(Feats!B5="","",Feats!M5)</f>
        <v>Ancestry feat</v>
      </c>
      <c r="K65" s="1411"/>
      <c r="L65" s="1411"/>
      <c r="M65" s="1411"/>
      <c r="N65" s="1412">
        <f>IF(Feats!B5="","",Feats!L5)</f>
        <v>1</v>
      </c>
      <c r="O65" s="1413"/>
      <c r="P65" s="1410" t="str">
        <f>IF(Feats!B29="","",Feats!B29)</f>
        <v>Mature Animal Companion</v>
      </c>
      <c r="Q65" s="1411"/>
      <c r="R65" s="1411"/>
      <c r="S65" s="1411"/>
      <c r="T65" s="1411"/>
      <c r="U65" s="1411"/>
      <c r="V65" s="1411"/>
      <c r="W65" s="1411"/>
      <c r="X65" s="1411" t="str">
        <f>IF(Feats!B29="","",Feats!M29)</f>
        <v>Class feat</v>
      </c>
      <c r="Y65" s="1411"/>
      <c r="Z65" s="1411"/>
      <c r="AA65" s="1411"/>
      <c r="AB65" s="1412">
        <f>IF(Feats!B29="","",Feats!L29)</f>
        <v>4</v>
      </c>
      <c r="AC65" s="637"/>
    </row>
    <row r="66" spans="1:29" ht="19.5" customHeight="1" x14ac:dyDescent="0.25">
      <c r="A66" s="656"/>
      <c r="B66" s="1414" t="str">
        <f>IF(Feats!B6="","",Feats!B6)</f>
        <v>Darkvision</v>
      </c>
      <c r="C66" s="1415"/>
      <c r="D66" s="1415"/>
      <c r="E66" s="1415"/>
      <c r="F66" s="1415"/>
      <c r="G66" s="1415"/>
      <c r="H66" s="1415"/>
      <c r="I66" s="1415"/>
      <c r="J66" s="1415" t="str">
        <f>IF(Feats!B6="","",Feats!M6)</f>
        <v>Ancestry vision</v>
      </c>
      <c r="K66" s="1415"/>
      <c r="L66" s="1415"/>
      <c r="M66" s="1415"/>
      <c r="N66" s="1416">
        <f>IF(Feats!B6="","",Feats!L6)</f>
        <v>1</v>
      </c>
      <c r="O66" s="1413"/>
      <c r="P66" s="1414" t="str">
        <f>IF(Feats!B30="","",Feats!B30)</f>
        <v/>
      </c>
      <c r="Q66" s="1415"/>
      <c r="R66" s="1415"/>
      <c r="S66" s="1415"/>
      <c r="T66" s="1415"/>
      <c r="U66" s="1415"/>
      <c r="V66" s="1415"/>
      <c r="W66" s="1415"/>
      <c r="X66" s="1415" t="str">
        <f>IF(Feats!B30="","",Feats!M30)</f>
        <v/>
      </c>
      <c r="Y66" s="1415"/>
      <c r="Z66" s="1415"/>
      <c r="AA66" s="1415"/>
      <c r="AB66" s="1416" t="str">
        <f>IF(Feats!B30="","",Feats!L30)</f>
        <v/>
      </c>
      <c r="AC66" s="637"/>
    </row>
    <row r="67" spans="1:29" ht="19.5" customHeight="1" x14ac:dyDescent="0.25">
      <c r="A67" s="656"/>
      <c r="B67" s="1414" t="str">
        <f>IF(Feats!B7="","",Feats!B7)</f>
        <v>Student of the Canon</v>
      </c>
      <c r="C67" s="1415"/>
      <c r="D67" s="1415"/>
      <c r="E67" s="1415"/>
      <c r="F67" s="1415"/>
      <c r="G67" s="1415"/>
      <c r="H67" s="1415"/>
      <c r="I67" s="1415"/>
      <c r="J67" s="1415" t="str">
        <f>IF(Feats!B7="","",Feats!M7)</f>
        <v>Background Skill feat</v>
      </c>
      <c r="K67" s="1415"/>
      <c r="L67" s="1415"/>
      <c r="M67" s="1415"/>
      <c r="N67" s="1416">
        <f>IF(Feats!B7="","",Feats!L7)</f>
        <v>1</v>
      </c>
      <c r="O67" s="1413"/>
      <c r="P67" s="1414" t="str">
        <f>IF(Feats!B31="","",Feats!B31)</f>
        <v>3rd level spells</v>
      </c>
      <c r="Q67" s="1415"/>
      <c r="R67" s="1415"/>
      <c r="S67" s="1415"/>
      <c r="T67" s="1415"/>
      <c r="U67" s="1415"/>
      <c r="V67" s="1415"/>
      <c r="W67" s="1415"/>
      <c r="X67" s="1415" t="str">
        <f>IF(Feats!B31="","",Feats!M31)</f>
        <v>Class ability</v>
      </c>
      <c r="Y67" s="1415"/>
      <c r="Z67" s="1415"/>
      <c r="AA67" s="1415"/>
      <c r="AB67" s="1416">
        <f>IF(Feats!B31="","",Feats!L31)</f>
        <v>5</v>
      </c>
      <c r="AC67" s="637"/>
    </row>
    <row r="68" spans="1:29" ht="19.5" customHeight="1" x14ac:dyDescent="0.25">
      <c r="A68" s="656"/>
      <c r="B68" s="1414" t="str">
        <f>IF(Feats!B8="","",Feats!B8)</f>
        <v>Order = Animal</v>
      </c>
      <c r="C68" s="1415"/>
      <c r="D68" s="1415"/>
      <c r="E68" s="1415"/>
      <c r="F68" s="1415"/>
      <c r="G68" s="1415"/>
      <c r="H68" s="1415"/>
      <c r="I68" s="1415"/>
      <c r="J68" s="1415" t="str">
        <f>IF(Feats!B8="","",Feats!M8)</f>
        <v>Class details</v>
      </c>
      <c r="K68" s="1415"/>
      <c r="L68" s="1415"/>
      <c r="M68" s="1415"/>
      <c r="N68" s="1416">
        <f>IF(Feats!B8="","",Feats!L8)</f>
        <v>1</v>
      </c>
      <c r="O68" s="1413"/>
      <c r="P68" s="1414" t="str">
        <f>IF(Feats!B32="","",Feats!B32)</f>
        <v>Lightning Reflexes (Expert REF)</v>
      </c>
      <c r="Q68" s="1415"/>
      <c r="R68" s="1415"/>
      <c r="S68" s="1415"/>
      <c r="T68" s="1415"/>
      <c r="U68" s="1415"/>
      <c r="V68" s="1415"/>
      <c r="W68" s="1415"/>
      <c r="X68" s="1415" t="str">
        <f>IF(Feats!B32="","",Feats!M32)</f>
        <v>Class ability</v>
      </c>
      <c r="Y68" s="1415"/>
      <c r="Z68" s="1415"/>
      <c r="AA68" s="1415"/>
      <c r="AB68" s="1416">
        <f>IF(Feats!B32="","",Feats!L32)</f>
        <v>5</v>
      </c>
      <c r="AC68" s="637"/>
    </row>
    <row r="69" spans="1:29" ht="19.5" customHeight="1" x14ac:dyDescent="0.25">
      <c r="A69" s="656"/>
      <c r="B69" s="1414" t="str">
        <f>IF(Feats!B9="","",Feats!B9)</f>
        <v/>
      </c>
      <c r="C69" s="1415"/>
      <c r="D69" s="1415"/>
      <c r="E69" s="1415"/>
      <c r="F69" s="1415"/>
      <c r="G69" s="1415"/>
      <c r="H69" s="1415"/>
      <c r="I69" s="1415"/>
      <c r="J69" s="1415" t="str">
        <f>IF(Feats!B9="","",Feats!M9)</f>
        <v/>
      </c>
      <c r="K69" s="1415"/>
      <c r="L69" s="1415"/>
      <c r="M69" s="1415"/>
      <c r="N69" s="1416" t="str">
        <f>IF(Feats!B9="","",Feats!L9)</f>
        <v/>
      </c>
      <c r="O69" s="1413"/>
      <c r="P69" s="1414" t="str">
        <f>IF(Feats!B33="","",Feats!B33)</f>
        <v>Goblin Song</v>
      </c>
      <c r="Q69" s="1415"/>
      <c r="R69" s="1415"/>
      <c r="S69" s="1415"/>
      <c r="T69" s="1415"/>
      <c r="U69" s="1415"/>
      <c r="V69" s="1415"/>
      <c r="W69" s="1415"/>
      <c r="X69" s="1415" t="str">
        <f>IF(Feats!B33="","",Feats!M33)</f>
        <v>Ancestry feat</v>
      </c>
      <c r="Y69" s="1415"/>
      <c r="Z69" s="1415"/>
      <c r="AA69" s="1415"/>
      <c r="AB69" s="1416">
        <f>IF(Feats!B33="","",Feats!L33)</f>
        <v>5</v>
      </c>
      <c r="AC69" s="637"/>
    </row>
    <row r="70" spans="1:29" ht="19.5" customHeight="1" x14ac:dyDescent="0.25">
      <c r="A70" s="656"/>
      <c r="B70" s="1414" t="str">
        <f>IF(Feats!B10="","",Feats!B10)</f>
        <v>Anathema</v>
      </c>
      <c r="C70" s="1415"/>
      <c r="D70" s="1415"/>
      <c r="E70" s="1415"/>
      <c r="F70" s="1415"/>
      <c r="G70" s="1415"/>
      <c r="H70" s="1415"/>
      <c r="I70" s="1415"/>
      <c r="J70" s="1415" t="str">
        <f>IF(Feats!B10="","",Feats!M10)</f>
        <v>Class ability</v>
      </c>
      <c r="K70" s="1415"/>
      <c r="L70" s="1415"/>
      <c r="M70" s="1415"/>
      <c r="N70" s="1416">
        <f>IF(Feats!B10="","",Feats!L10)</f>
        <v>1</v>
      </c>
      <c r="O70" s="1413"/>
      <c r="P70" s="1414" t="str">
        <f>IF(Feats!B34="","",Feats!B34)</f>
        <v>Expert in Performance</v>
      </c>
      <c r="Q70" s="1415"/>
      <c r="R70" s="1415"/>
      <c r="S70" s="1415"/>
      <c r="T70" s="1415"/>
      <c r="U70" s="1415"/>
      <c r="V70" s="1415"/>
      <c r="W70" s="1415"/>
      <c r="X70" s="1415" t="str">
        <f>IF(Feats!B34="","",Feats!M34)</f>
        <v>Skill increase</v>
      </c>
      <c r="Y70" s="1415"/>
      <c r="Z70" s="1415"/>
      <c r="AA70" s="1415"/>
      <c r="AB70" s="1416">
        <f>IF(Feats!B34="","",Feats!L34)</f>
        <v>5</v>
      </c>
      <c r="AC70" s="637"/>
    </row>
    <row r="71" spans="1:29" ht="19.5" customHeight="1" x14ac:dyDescent="0.25">
      <c r="A71" s="656"/>
      <c r="B71" s="1414" t="str">
        <f>IF(Feats!B11="","",Feats!B11)</f>
        <v>Shield Block</v>
      </c>
      <c r="C71" s="1415"/>
      <c r="D71" s="1415"/>
      <c r="E71" s="1415"/>
      <c r="F71" s="1415"/>
      <c r="G71" s="1415"/>
      <c r="H71" s="1415"/>
      <c r="I71" s="1415"/>
      <c r="J71" s="1415" t="str">
        <f>IF(Feats!B11="","",Feats!M11)</f>
        <v>Class ability</v>
      </c>
      <c r="K71" s="1415"/>
      <c r="L71" s="1415"/>
      <c r="M71" s="1415"/>
      <c r="N71" s="1416">
        <f>IF(Feats!B11="","",Feats!L11)</f>
        <v>1</v>
      </c>
      <c r="O71" s="1413"/>
      <c r="P71" s="1414" t="str">
        <f>IF(Feats!B35="","",Feats!B35)</f>
        <v/>
      </c>
      <c r="Q71" s="1415"/>
      <c r="R71" s="1415"/>
      <c r="S71" s="1415"/>
      <c r="T71" s="1415"/>
      <c r="U71" s="1415"/>
      <c r="V71" s="1415"/>
      <c r="W71" s="1415"/>
      <c r="X71" s="1415" t="str">
        <f>IF(Feats!B35="","",Feats!M35)</f>
        <v/>
      </c>
      <c r="Y71" s="1415"/>
      <c r="Z71" s="1415"/>
      <c r="AA71" s="1415"/>
      <c r="AB71" s="1416" t="str">
        <f>IF(Feats!B35="","",Feats!L35)</f>
        <v/>
      </c>
      <c r="AC71" s="637"/>
    </row>
    <row r="72" spans="1:29" ht="19.5" customHeight="1" x14ac:dyDescent="0.25">
      <c r="A72" s="656"/>
      <c r="B72" s="1414" t="str">
        <f>IF(Feats!B12="","",Feats!B12)</f>
        <v>Wild empathy</v>
      </c>
      <c r="C72" s="1415"/>
      <c r="D72" s="1415"/>
      <c r="E72" s="1415"/>
      <c r="F72" s="1415"/>
      <c r="G72" s="1415"/>
      <c r="H72" s="1415"/>
      <c r="I72" s="1415"/>
      <c r="J72" s="1415" t="str">
        <f>IF(Feats!B12="","",Feats!M12)</f>
        <v>Class ability</v>
      </c>
      <c r="K72" s="1415"/>
      <c r="L72" s="1415"/>
      <c r="M72" s="1415"/>
      <c r="N72" s="1416">
        <f>IF(Feats!B12="","",Feats!L12)</f>
        <v>1</v>
      </c>
      <c r="O72" s="1413"/>
      <c r="P72" s="1414" t="str">
        <f>IF(Feats!B36="","",Feats!B36)</f>
        <v/>
      </c>
      <c r="Q72" s="1415"/>
      <c r="R72" s="1415"/>
      <c r="S72" s="1415"/>
      <c r="T72" s="1415"/>
      <c r="U72" s="1415"/>
      <c r="V72" s="1415"/>
      <c r="W72" s="1415"/>
      <c r="X72" s="1415" t="str">
        <f>IF(Feats!B36="","",Feats!M36)</f>
        <v/>
      </c>
      <c r="Y72" s="1415"/>
      <c r="Z72" s="1415"/>
      <c r="AA72" s="1415"/>
      <c r="AB72" s="1416" t="str">
        <f>IF(Feats!B36="","",Feats!L36)</f>
        <v/>
      </c>
      <c r="AC72" s="637"/>
    </row>
    <row r="73" spans="1:29" ht="19.5" customHeight="1" x14ac:dyDescent="0.25">
      <c r="A73" s="656"/>
      <c r="B73" s="1414" t="str">
        <f>IF(Feats!B13="","",Feats!B13)</f>
        <v>Druidic language</v>
      </c>
      <c r="C73" s="1415"/>
      <c r="D73" s="1415"/>
      <c r="E73" s="1415"/>
      <c r="F73" s="1415"/>
      <c r="G73" s="1415"/>
      <c r="H73" s="1415"/>
      <c r="I73" s="1415"/>
      <c r="J73" s="1415" t="str">
        <f>IF(Feats!B13="","",Feats!M13)</f>
        <v>Class ability</v>
      </c>
      <c r="K73" s="1415"/>
      <c r="L73" s="1415"/>
      <c r="M73" s="1415"/>
      <c r="N73" s="1416">
        <f>IF(Feats!B13="","",Feats!L13)</f>
        <v>1</v>
      </c>
      <c r="O73" s="1413"/>
      <c r="P73" s="1414" t="str">
        <f>IF(Feats!B37="","",Feats!B37)</f>
        <v/>
      </c>
      <c r="Q73" s="1415"/>
      <c r="R73" s="1415"/>
      <c r="S73" s="1415"/>
      <c r="T73" s="1415"/>
      <c r="U73" s="1415"/>
      <c r="V73" s="1415"/>
      <c r="W73" s="1415"/>
      <c r="X73" s="1415" t="str">
        <f>IF(Feats!B37="","",Feats!M37)</f>
        <v/>
      </c>
      <c r="Y73" s="1415"/>
      <c r="Z73" s="1415"/>
      <c r="AA73" s="1415"/>
      <c r="AB73" s="1416" t="str">
        <f>IF(Feats!B37="","",Feats!L37)</f>
        <v/>
      </c>
      <c r="AC73" s="637"/>
    </row>
    <row r="74" spans="1:29" ht="19.5" customHeight="1" x14ac:dyDescent="0.25">
      <c r="A74" s="656"/>
      <c r="B74" s="1414" t="str">
        <f>IF(Feats!B14="","",Feats!B14)</f>
        <v>Primal prepared spellcasting</v>
      </c>
      <c r="C74" s="1415"/>
      <c r="D74" s="1415"/>
      <c r="E74" s="1415"/>
      <c r="F74" s="1415"/>
      <c r="G74" s="1415"/>
      <c r="H74" s="1415"/>
      <c r="I74" s="1415"/>
      <c r="J74" s="1415" t="str">
        <f>IF(Feats!B14="","",Feats!M14)</f>
        <v>Class ability</v>
      </c>
      <c r="K74" s="1415"/>
      <c r="L74" s="1415"/>
      <c r="M74" s="1415"/>
      <c r="N74" s="1416">
        <f>IF(Feats!B14="","",Feats!L14)</f>
        <v>1</v>
      </c>
      <c r="O74" s="1413"/>
      <c r="P74" s="1414" t="str">
        <f>IF(Feats!B38="","",Feats!B38)</f>
        <v/>
      </c>
      <c r="Q74" s="1415"/>
      <c r="R74" s="1415"/>
      <c r="S74" s="1415"/>
      <c r="T74" s="1415"/>
      <c r="U74" s="1415"/>
      <c r="V74" s="1415"/>
      <c r="W74" s="1415"/>
      <c r="X74" s="1415" t="str">
        <f>IF(Feats!B38="","",Feats!M38)</f>
        <v/>
      </c>
      <c r="Y74" s="1415"/>
      <c r="Z74" s="1415"/>
      <c r="AA74" s="1415"/>
      <c r="AB74" s="1416" t="str">
        <f>IF(Feats!B38="","",Feats!L38)</f>
        <v/>
      </c>
      <c r="AC74" s="637"/>
    </row>
    <row r="75" spans="1:29" ht="19.5" customHeight="1" x14ac:dyDescent="0.25">
      <c r="A75" s="656"/>
      <c r="B75" s="1414" t="str">
        <f>IF(Feats!B15="","",Feats!B15)</f>
        <v>Order = Animal Companion (Dromaeosaur)</v>
      </c>
      <c r="C75" s="1415"/>
      <c r="D75" s="1415"/>
      <c r="E75" s="1415"/>
      <c r="F75" s="1415"/>
      <c r="G75" s="1415"/>
      <c r="H75" s="1415"/>
      <c r="I75" s="1415"/>
      <c r="J75" s="1415" t="str">
        <f>IF(Feats!B15="","",Feats!M15)</f>
        <v>Starting feat</v>
      </c>
      <c r="K75" s="1415"/>
      <c r="L75" s="1415"/>
      <c r="M75" s="1415"/>
      <c r="N75" s="1416">
        <f>IF(Feats!B15="","",Feats!L15)</f>
        <v>1</v>
      </c>
      <c r="O75" s="1413"/>
      <c r="P75" s="1414" t="str">
        <f>IF(Feats!B39="","",Feats!B39)</f>
        <v/>
      </c>
      <c r="Q75" s="1415"/>
      <c r="R75" s="1415"/>
      <c r="S75" s="1415"/>
      <c r="T75" s="1415"/>
      <c r="U75" s="1415"/>
      <c r="V75" s="1415"/>
      <c r="W75" s="1415"/>
      <c r="X75" s="1415" t="str">
        <f>IF(Feats!B39="","",Feats!M39)</f>
        <v/>
      </c>
      <c r="Y75" s="1415"/>
      <c r="Z75" s="1415"/>
      <c r="AA75" s="1415"/>
      <c r="AB75" s="1416" t="str">
        <f>IF(Feats!B39="","",Feats!L39)</f>
        <v/>
      </c>
      <c r="AC75" s="637"/>
    </row>
    <row r="76" spans="1:29" ht="19.5" hidden="1" customHeight="1" outlineLevel="1" x14ac:dyDescent="0.25">
      <c r="A76" s="656"/>
      <c r="B76" s="1414" t="str">
        <f>IF(Feats!B16="","",Feats!B16)</f>
        <v/>
      </c>
      <c r="C76" s="1415"/>
      <c r="D76" s="1415"/>
      <c r="E76" s="1415"/>
      <c r="F76" s="1415"/>
      <c r="G76" s="1415"/>
      <c r="H76" s="1415"/>
      <c r="I76" s="1415"/>
      <c r="J76" s="1415" t="str">
        <f>IF(Feats!B16="","",Feats!M16)</f>
        <v/>
      </c>
      <c r="K76" s="1415"/>
      <c r="L76" s="1415"/>
      <c r="M76" s="1415"/>
      <c r="N76" s="1416" t="str">
        <f>IF(Feats!B16="","",Feats!L16)</f>
        <v/>
      </c>
      <c r="O76" s="1413"/>
      <c r="P76" s="1414" t="str">
        <f>IF(Feats!B40="","",Feats!B40)</f>
        <v/>
      </c>
      <c r="Q76" s="1415"/>
      <c r="R76" s="1415"/>
      <c r="S76" s="1415"/>
      <c r="T76" s="1415"/>
      <c r="U76" s="1415"/>
      <c r="V76" s="1415"/>
      <c r="W76" s="1415"/>
      <c r="X76" s="1415" t="str">
        <f>IF(Feats!B40="","",Feats!M40)</f>
        <v/>
      </c>
      <c r="Y76" s="1415"/>
      <c r="Z76" s="1415"/>
      <c r="AA76" s="1415"/>
      <c r="AB76" s="1416" t="str">
        <f>IF(Feats!B40="","",Feats!L40)</f>
        <v/>
      </c>
      <c r="AC76" s="637"/>
    </row>
    <row r="77" spans="1:29" ht="19.5" hidden="1" customHeight="1" outlineLevel="1" x14ac:dyDescent="0.25">
      <c r="A77" s="656"/>
      <c r="B77" s="1414" t="str">
        <f>IF(Feats!B17="","",Feats!B17)</f>
        <v/>
      </c>
      <c r="C77" s="1415"/>
      <c r="D77" s="1415"/>
      <c r="E77" s="1415"/>
      <c r="F77" s="1415"/>
      <c r="G77" s="1415"/>
      <c r="H77" s="1415"/>
      <c r="I77" s="1415"/>
      <c r="J77" s="1415" t="str">
        <f>IF(Feats!B17="","",Feats!M17)</f>
        <v/>
      </c>
      <c r="K77" s="1415"/>
      <c r="L77" s="1415"/>
      <c r="M77" s="1415"/>
      <c r="N77" s="1416" t="str">
        <f>IF(Feats!B17="","",Feats!L17)</f>
        <v/>
      </c>
      <c r="O77" s="1413"/>
      <c r="P77" s="1414" t="str">
        <f>IF(Feats!B41="","",Feats!B41)</f>
        <v/>
      </c>
      <c r="Q77" s="1415"/>
      <c r="R77" s="1415"/>
      <c r="S77" s="1415"/>
      <c r="T77" s="1415"/>
      <c r="U77" s="1415"/>
      <c r="V77" s="1415"/>
      <c r="W77" s="1415"/>
      <c r="X77" s="1415" t="str">
        <f>IF(Feats!B41="","",Feats!M41)</f>
        <v/>
      </c>
      <c r="Y77" s="1415"/>
      <c r="Z77" s="1415"/>
      <c r="AA77" s="1415"/>
      <c r="AB77" s="1416" t="str">
        <f>IF(Feats!B41="","",Feats!L41)</f>
        <v/>
      </c>
      <c r="AC77" s="637"/>
    </row>
    <row r="78" spans="1:29" ht="19.5" customHeight="1" collapsed="1" x14ac:dyDescent="0.25">
      <c r="A78" s="656"/>
      <c r="B78" s="1414" t="str">
        <f>IF(Feats!B18="","",Feats!B18)</f>
        <v>Forager (T Survival)</v>
      </c>
      <c r="C78" s="1415"/>
      <c r="D78" s="1415"/>
      <c r="E78" s="1415"/>
      <c r="F78" s="1415"/>
      <c r="G78" s="1415"/>
      <c r="H78" s="1415"/>
      <c r="I78" s="1415"/>
      <c r="J78" s="1415" t="str">
        <f>IF(Feats!B18="","",Feats!M18)</f>
        <v>Skill feat</v>
      </c>
      <c r="K78" s="1415"/>
      <c r="L78" s="1415"/>
      <c r="M78" s="1415"/>
      <c r="N78" s="1416">
        <f>IF(Feats!B18="","",Feats!L18)</f>
        <v>2</v>
      </c>
      <c r="O78" s="1413"/>
      <c r="P78" s="1414" t="str">
        <f>IF(Feats!B42="","",Feats!B42)</f>
        <v/>
      </c>
      <c r="Q78" s="1415"/>
      <c r="R78" s="1415"/>
      <c r="S78" s="1415"/>
      <c r="T78" s="1415"/>
      <c r="U78" s="1415"/>
      <c r="V78" s="1415"/>
      <c r="W78" s="1415"/>
      <c r="X78" s="1415" t="str">
        <f>IF(Feats!B42="","",Feats!M42)</f>
        <v/>
      </c>
      <c r="Y78" s="1415"/>
      <c r="Z78" s="1415"/>
      <c r="AA78" s="1415"/>
      <c r="AB78" s="1416" t="str">
        <f>IF(Feats!B42="","",Feats!L42)</f>
        <v/>
      </c>
      <c r="AC78" s="637"/>
    </row>
    <row r="79" spans="1:29" ht="19.5" customHeight="1" x14ac:dyDescent="0.25">
      <c r="A79" s="656"/>
      <c r="B79" s="1414" t="str">
        <f>IF(Feats!B19="","",Feats!B19)</f>
        <v>Order Explorer (Flame)</v>
      </c>
      <c r="C79" s="1415"/>
      <c r="D79" s="1415"/>
      <c r="E79" s="1415"/>
      <c r="F79" s="1415"/>
      <c r="G79" s="1415"/>
      <c r="H79" s="1415"/>
      <c r="I79" s="1415"/>
      <c r="J79" s="1415" t="str">
        <f>IF(Feats!B19="","",Feats!M19)</f>
        <v>Class feat</v>
      </c>
      <c r="K79" s="1415"/>
      <c r="L79" s="1415"/>
      <c r="M79" s="1415"/>
      <c r="N79" s="1416">
        <f>IF(Feats!B19="","",Feats!L19)</f>
        <v>2</v>
      </c>
      <c r="O79" s="1413"/>
      <c r="P79" s="1414" t="str">
        <f>IF(Feats!B43="","",Feats!B43)</f>
        <v/>
      </c>
      <c r="Q79" s="1415"/>
      <c r="R79" s="1415"/>
      <c r="S79" s="1415"/>
      <c r="T79" s="1415"/>
      <c r="U79" s="1415"/>
      <c r="V79" s="1415"/>
      <c r="W79" s="1415"/>
      <c r="X79" s="1415" t="str">
        <f>IF(Feats!B43="","",Feats!M43)</f>
        <v/>
      </c>
      <c r="Y79" s="1415"/>
      <c r="Z79" s="1415"/>
      <c r="AA79" s="1415"/>
      <c r="AB79" s="1416" t="str">
        <f>IF(Feats!B43="","",Feats!L43)</f>
        <v/>
      </c>
      <c r="AC79" s="637"/>
    </row>
    <row r="80" spans="1:29" ht="19.5" customHeight="1" x14ac:dyDescent="0.25">
      <c r="A80" s="656"/>
      <c r="B80" s="1414" t="str">
        <f>IF(Feats!B20="","",Feats!B20)</f>
        <v>Fire Lung (O Flame)</v>
      </c>
      <c r="C80" s="1415"/>
      <c r="D80" s="1415"/>
      <c r="E80" s="1415"/>
      <c r="F80" s="1415"/>
      <c r="G80" s="1415"/>
      <c r="H80" s="1415"/>
      <c r="I80" s="1415"/>
      <c r="J80" s="1415" t="str">
        <f>IF(Feats!B20="","",Feats!M20)</f>
        <v>Class feat</v>
      </c>
      <c r="K80" s="1415"/>
      <c r="L80" s="1415"/>
      <c r="M80" s="1415"/>
      <c r="N80" s="1416">
        <f>IF(Feats!B20="","",Feats!L20)</f>
        <v>2</v>
      </c>
      <c r="O80" s="1413"/>
      <c r="P80" s="1414" t="str">
        <f>IF(Feats!B44="","",Feats!B44)</f>
        <v/>
      </c>
      <c r="Q80" s="1415"/>
      <c r="R80" s="1415"/>
      <c r="S80" s="1415"/>
      <c r="T80" s="1415"/>
      <c r="U80" s="1415"/>
      <c r="V80" s="1415"/>
      <c r="W80" s="1415"/>
      <c r="X80" s="1415" t="str">
        <f>IF(Feats!B44="","",Feats!M44)</f>
        <v/>
      </c>
      <c r="Y80" s="1415"/>
      <c r="Z80" s="1415"/>
      <c r="AA80" s="1415"/>
      <c r="AB80" s="1416" t="str">
        <f>IF(Feats!B44="","",Feats!L44)</f>
        <v/>
      </c>
      <c r="AC80" s="637"/>
    </row>
    <row r="81" spans="1:29" ht="19.5" hidden="1" customHeight="1" outlineLevel="1" x14ac:dyDescent="0.25">
      <c r="A81" s="656"/>
      <c r="B81" s="1414" t="str">
        <f>IF(Feats!B21="","",Feats!B21)</f>
        <v/>
      </c>
      <c r="C81" s="1415"/>
      <c r="D81" s="1415"/>
      <c r="E81" s="1415"/>
      <c r="F81" s="1415"/>
      <c r="G81" s="1415"/>
      <c r="H81" s="1415"/>
      <c r="I81" s="1415"/>
      <c r="J81" s="1415" t="str">
        <f>IF(Feats!B21="","",Feats!M21)</f>
        <v/>
      </c>
      <c r="K81" s="1415"/>
      <c r="L81" s="1415"/>
      <c r="M81" s="1415"/>
      <c r="N81" s="1416" t="str">
        <f>IF(Feats!B21="","",Feats!L21)</f>
        <v/>
      </c>
      <c r="O81" s="1413"/>
      <c r="P81" s="1414" t="str">
        <f>IF(Feats!B45="","",Feats!B45)</f>
        <v/>
      </c>
      <c r="Q81" s="1415"/>
      <c r="R81" s="1415"/>
      <c r="S81" s="1415"/>
      <c r="T81" s="1415"/>
      <c r="U81" s="1415"/>
      <c r="V81" s="1415"/>
      <c r="W81" s="1415"/>
      <c r="X81" s="1415" t="str">
        <f>IF(Feats!B45="","",Feats!M45)</f>
        <v/>
      </c>
      <c r="Y81" s="1415"/>
      <c r="Z81" s="1415"/>
      <c r="AA81" s="1415"/>
      <c r="AB81" s="1416" t="str">
        <f>IF(Feats!B45="","",Feats!L45)</f>
        <v/>
      </c>
      <c r="AC81" s="637"/>
    </row>
    <row r="82" spans="1:29" ht="19.5" customHeight="1" collapsed="1" x14ac:dyDescent="0.25">
      <c r="A82" s="656"/>
      <c r="B82" s="1414" t="str">
        <f>IF(Feats!B22="","",Feats!B22)</f>
        <v>Alertness (Expert PER)</v>
      </c>
      <c r="C82" s="1415"/>
      <c r="D82" s="1415"/>
      <c r="E82" s="1415"/>
      <c r="F82" s="1415"/>
      <c r="G82" s="1415"/>
      <c r="H82" s="1415"/>
      <c r="I82" s="1415"/>
      <c r="J82" s="1415" t="str">
        <f>IF(Feats!B22="","",Feats!M22)</f>
        <v>Class ability</v>
      </c>
      <c r="K82" s="1415"/>
      <c r="L82" s="1415"/>
      <c r="M82" s="1415"/>
      <c r="N82" s="1416">
        <f>IF(Feats!B22="","",Feats!L22)</f>
        <v>3</v>
      </c>
      <c r="O82" s="1413"/>
      <c r="P82" s="1414" t="str">
        <f>IF(Feats!B46="","",Feats!B46)</f>
        <v/>
      </c>
      <c r="Q82" s="1415"/>
      <c r="R82" s="1415"/>
      <c r="S82" s="1415"/>
      <c r="T82" s="1415"/>
      <c r="U82" s="1415"/>
      <c r="V82" s="1415"/>
      <c r="W82" s="1415"/>
      <c r="X82" s="1415" t="str">
        <f>IF(Feats!B46="","",Feats!M46)</f>
        <v/>
      </c>
      <c r="Y82" s="1415"/>
      <c r="Z82" s="1415"/>
      <c r="AA82" s="1415"/>
      <c r="AB82" s="1416" t="str">
        <f>IF(Feats!B46="","",Feats!L46)</f>
        <v/>
      </c>
      <c r="AC82" s="637"/>
    </row>
    <row r="83" spans="1:29" ht="19.5" customHeight="1" x14ac:dyDescent="0.25">
      <c r="A83" s="656"/>
      <c r="B83" s="1414" t="str">
        <f>IF(Feats!B23="","",Feats!B23)</f>
        <v>Great Fortitude (Expert FOR)</v>
      </c>
      <c r="C83" s="1415"/>
      <c r="D83" s="1415"/>
      <c r="E83" s="1415"/>
      <c r="F83" s="1415"/>
      <c r="G83" s="1415"/>
      <c r="H83" s="1415"/>
      <c r="I83" s="1415"/>
      <c r="J83" s="1415" t="str">
        <f>IF(Feats!B23="","",Feats!M23)</f>
        <v>Class ability</v>
      </c>
      <c r="K83" s="1415"/>
      <c r="L83" s="1415"/>
      <c r="M83" s="1415"/>
      <c r="N83" s="1416">
        <f>IF(Feats!B23="","",Feats!L23)</f>
        <v>3</v>
      </c>
      <c r="O83" s="1413"/>
      <c r="P83" s="1414" t="str">
        <f>IF(Feats!B47="","",Feats!B47)</f>
        <v/>
      </c>
      <c r="Q83" s="1415"/>
      <c r="R83" s="1415"/>
      <c r="S83" s="1415"/>
      <c r="T83" s="1415"/>
      <c r="U83" s="1415"/>
      <c r="V83" s="1415"/>
      <c r="W83" s="1415"/>
      <c r="X83" s="1415" t="str">
        <f>IF(Feats!B47="","",Feats!M47)</f>
        <v/>
      </c>
      <c r="Y83" s="1415"/>
      <c r="Z83" s="1415"/>
      <c r="AA83" s="1415"/>
      <c r="AB83" s="1416" t="str">
        <f>IF(Feats!B47="","",Feats!L47)</f>
        <v/>
      </c>
      <c r="AC83" s="637"/>
    </row>
    <row r="84" spans="1:29" ht="19.5" customHeight="1" x14ac:dyDescent="0.25">
      <c r="A84" s="656"/>
      <c r="B84" s="1414" t="str">
        <f>IF(Feats!B24="","",Feats!B24)</f>
        <v>2nd level spells</v>
      </c>
      <c r="C84" s="1415"/>
      <c r="D84" s="1415"/>
      <c r="E84" s="1415"/>
      <c r="F84" s="1415"/>
      <c r="G84" s="1415"/>
      <c r="H84" s="1415"/>
      <c r="I84" s="1415"/>
      <c r="J84" s="1415" t="str">
        <f>IF(Feats!B24="","",Feats!M24)</f>
        <v>Class ability</v>
      </c>
      <c r="K84" s="1415"/>
      <c r="L84" s="1415"/>
      <c r="M84" s="1415"/>
      <c r="N84" s="1416">
        <f>IF(Feats!B24="","",Feats!L24)</f>
        <v>3</v>
      </c>
      <c r="O84" s="1413"/>
      <c r="P84" s="1414" t="str">
        <f>IF(Feats!B48="","",Feats!B48)</f>
        <v/>
      </c>
      <c r="Q84" s="1415"/>
      <c r="R84" s="1415"/>
      <c r="S84" s="1415"/>
      <c r="T84" s="1415"/>
      <c r="U84" s="1415"/>
      <c r="V84" s="1415"/>
      <c r="W84" s="1415"/>
      <c r="X84" s="1415" t="str">
        <f>IF(Feats!B48="","",Feats!M48)</f>
        <v/>
      </c>
      <c r="Y84" s="1415"/>
      <c r="Z84" s="1415"/>
      <c r="AA84" s="1415"/>
      <c r="AB84" s="1416" t="str">
        <f>IF(Feats!B48="","",Feats!L48)</f>
        <v/>
      </c>
      <c r="AC84" s="637"/>
    </row>
    <row r="85" spans="1:29" ht="19.5" customHeight="1" x14ac:dyDescent="0.25">
      <c r="A85" s="656"/>
      <c r="B85" s="1414" t="str">
        <f>IF(Feats!B25="","",Feats!B25)</f>
        <v>Prescient Planner</v>
      </c>
      <c r="C85" s="1415"/>
      <c r="D85" s="1415"/>
      <c r="E85" s="1415"/>
      <c r="F85" s="1415"/>
      <c r="G85" s="1415"/>
      <c r="H85" s="1415"/>
      <c r="I85" s="1415"/>
      <c r="J85" s="1415" t="str">
        <f>IF(Feats!B25="","",Feats!M25)</f>
        <v>General feat</v>
      </c>
      <c r="K85" s="1415"/>
      <c r="L85" s="1415"/>
      <c r="M85" s="1415"/>
      <c r="N85" s="1416">
        <f>IF(Feats!B25="","",Feats!L25)</f>
        <v>3</v>
      </c>
      <c r="O85" s="1413"/>
      <c r="P85" s="1414" t="str">
        <f>IF(Feats!B49="","",Feats!B49)</f>
        <v/>
      </c>
      <c r="Q85" s="1415"/>
      <c r="R85" s="1415"/>
      <c r="S85" s="1415"/>
      <c r="T85" s="1415"/>
      <c r="U85" s="1415"/>
      <c r="V85" s="1415"/>
      <c r="W85" s="1415"/>
      <c r="X85" s="1415" t="str">
        <f>IF(Feats!B49="","",Feats!M49)</f>
        <v/>
      </c>
      <c r="Y85" s="1415"/>
      <c r="Z85" s="1415"/>
      <c r="AA85" s="1415"/>
      <c r="AB85" s="1416" t="str">
        <f>IF(Feats!B49="","",Feats!L49)</f>
        <v/>
      </c>
      <c r="AC85" s="637"/>
    </row>
    <row r="86" spans="1:29" ht="19.5" customHeight="1" x14ac:dyDescent="0.25">
      <c r="A86" s="656"/>
      <c r="B86" s="1414" t="str">
        <f>IF(Feats!B26="","",Feats!B26)</f>
        <v>Expert in Nature</v>
      </c>
      <c r="C86" s="1415"/>
      <c r="D86" s="1415"/>
      <c r="E86" s="1415"/>
      <c r="F86" s="1415"/>
      <c r="G86" s="1415"/>
      <c r="H86" s="1415"/>
      <c r="I86" s="1415"/>
      <c r="J86" s="1415" t="str">
        <f>IF(Feats!B26="","",Feats!M26)</f>
        <v>Skill increase</v>
      </c>
      <c r="K86" s="1415"/>
      <c r="L86" s="1415"/>
      <c r="M86" s="1415"/>
      <c r="N86" s="1416">
        <f>IF(Feats!B26="","",Feats!L26)</f>
        <v>3</v>
      </c>
      <c r="O86" s="1413"/>
      <c r="P86" s="1414" t="str">
        <f>IF(Feats!B50="","",Feats!B50)</f>
        <v/>
      </c>
      <c r="Q86" s="1415"/>
      <c r="R86" s="1415"/>
      <c r="S86" s="1415"/>
      <c r="T86" s="1415"/>
      <c r="U86" s="1415"/>
      <c r="V86" s="1415"/>
      <c r="W86" s="1415"/>
      <c r="X86" s="1415" t="str">
        <f>IF(Feats!B50="","",Feats!M50)</f>
        <v/>
      </c>
      <c r="Y86" s="1415"/>
      <c r="Z86" s="1415"/>
      <c r="AA86" s="1415"/>
      <c r="AB86" s="1416" t="str">
        <f>IF(Feats!B50="","",Feats!L50)</f>
        <v/>
      </c>
      <c r="AC86" s="637"/>
    </row>
    <row r="87" spans="1:29" ht="19.5" hidden="1" customHeight="1" outlineLevel="1" x14ac:dyDescent="0.25">
      <c r="A87" s="656"/>
      <c r="B87" s="1414" t="str">
        <f>IF(Feats!B27="","",Feats!B27)</f>
        <v/>
      </c>
      <c r="C87" s="1415"/>
      <c r="D87" s="1415"/>
      <c r="E87" s="1415"/>
      <c r="F87" s="1415"/>
      <c r="G87" s="1415"/>
      <c r="H87" s="1415"/>
      <c r="I87" s="1415"/>
      <c r="J87" s="1415" t="str">
        <f>IF(Feats!B27="","",Feats!M27)</f>
        <v/>
      </c>
      <c r="K87" s="1415"/>
      <c r="L87" s="1415"/>
      <c r="M87" s="1415"/>
      <c r="N87" s="1416" t="str">
        <f>IF(Feats!B27="","",Feats!L27)</f>
        <v/>
      </c>
      <c r="O87" s="1413"/>
      <c r="P87" s="1414"/>
      <c r="Q87" s="1415"/>
      <c r="R87" s="1415"/>
      <c r="S87" s="1415"/>
      <c r="T87" s="1415"/>
      <c r="U87" s="1415"/>
      <c r="V87" s="1415"/>
      <c r="W87" s="1415"/>
      <c r="X87" s="1415"/>
      <c r="Y87" s="1415"/>
      <c r="Z87" s="1415"/>
      <c r="AA87" s="1415"/>
      <c r="AB87" s="1417"/>
      <c r="AC87" s="637"/>
    </row>
    <row r="88" spans="1:29" ht="19.5" customHeight="1" collapsed="1" x14ac:dyDescent="0.25">
      <c r="A88" s="656"/>
      <c r="B88" s="1418" t="str">
        <f>IF(Feats!B28="","",Feats!B28)</f>
        <v>Additional Lore (Dahak/Goblin)</v>
      </c>
      <c r="C88" s="1419"/>
      <c r="D88" s="1419"/>
      <c r="E88" s="1419"/>
      <c r="F88" s="1419"/>
      <c r="G88" s="1419"/>
      <c r="H88" s="1419"/>
      <c r="I88" s="1420"/>
      <c r="J88" s="1419" t="str">
        <f>IF(Feats!B28="","",Feats!M28)</f>
        <v>Skill feat</v>
      </c>
      <c r="K88" s="1420"/>
      <c r="L88" s="1419"/>
      <c r="M88" s="1419"/>
      <c r="N88" s="1421">
        <f>IF(Feats!B28="","",Feats!L28)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customHeight="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customHeight="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customHeight="1" x14ac:dyDescent="0.3">
      <c r="A92" s="643"/>
      <c r="B92" s="490"/>
      <c r="C92" s="490"/>
      <c r="D92" s="489" t="s">
        <v>324</v>
      </c>
      <c r="E92" s="490"/>
      <c r="F92" s="490"/>
      <c r="G92" s="490"/>
      <c r="H92" s="490"/>
      <c r="I92" s="489" t="s">
        <v>79</v>
      </c>
      <c r="J92" s="490"/>
      <c r="K92" s="640" t="s">
        <v>490</v>
      </c>
      <c r="L92" s="490"/>
      <c r="M92" s="669" t="s">
        <v>554</v>
      </c>
      <c r="N92" s="701">
        <f>IF(Spells!B17="","",Spells!B17)</f>
        <v>3</v>
      </c>
      <c r="O92" s="702">
        <f>IF(Spells!B18="","",Spells!B18)</f>
        <v>3</v>
      </c>
      <c r="P92" s="702">
        <f>IF(Spells!B19="","",Spells!B19)</f>
        <v>2</v>
      </c>
      <c r="Q92" s="702" t="str">
        <f>IF(Spells!B20="","",Spells!B20)</f>
        <v/>
      </c>
      <c r="R92" s="702" t="str">
        <f>IF(Spells!B21="","",Spells!B21)</f>
        <v/>
      </c>
      <c r="S92" s="702" t="str">
        <f>IF(Spells!B22="","",Spells!B22)</f>
        <v/>
      </c>
      <c r="T92" s="702" t="str">
        <f>IF(Spells!B23="","",Spells!B23)</f>
        <v/>
      </c>
      <c r="U92" s="702" t="str">
        <f>IF(Spells!B24="","",Spells!B24)</f>
        <v/>
      </c>
      <c r="V92" s="702" t="str">
        <f>IF(Spells!B25="","",Spells!B25)</f>
        <v/>
      </c>
      <c r="W92" s="1223" t="str">
        <f>IF(Spells!B26="","",Spells!B26)</f>
        <v/>
      </c>
      <c r="X92" s="490"/>
      <c r="Y92" s="1265" t="s">
        <v>983</v>
      </c>
      <c r="Z92" s="490"/>
      <c r="AA92" s="490"/>
      <c r="AB92" s="490"/>
      <c r="AC92" s="637"/>
    </row>
    <row r="93" spans="1:29" ht="19.5" customHeight="1" x14ac:dyDescent="0.25">
      <c r="A93" s="643"/>
      <c r="B93" s="768">
        <f>Skills!B38</f>
        <v>11</v>
      </c>
      <c r="C93" s="704" t="s">
        <v>502</v>
      </c>
      <c r="D93" s="705">
        <f>Skills!B207</f>
        <v>7</v>
      </c>
      <c r="E93" s="706" t="str">
        <f>Skills!B165</f>
        <v>Trained</v>
      </c>
      <c r="F93" s="1466"/>
      <c r="G93" s="707" t="s">
        <v>499</v>
      </c>
      <c r="H93" s="705">
        <f>Skills!B70</f>
        <v>4</v>
      </c>
      <c r="I93" s="708" t="str">
        <f>Skills!B71</f>
        <v>WIS</v>
      </c>
      <c r="J93" s="490"/>
      <c r="K93" s="771">
        <f>Spells!B4</f>
        <v>3</v>
      </c>
      <c r="L93" s="490"/>
      <c r="M93" s="669" t="s">
        <v>490</v>
      </c>
      <c r="N93" s="492">
        <v>1</v>
      </c>
      <c r="O93" s="457">
        <v>2</v>
      </c>
      <c r="P93" s="457">
        <v>3</v>
      </c>
      <c r="Q93" s="457">
        <v>4</v>
      </c>
      <c r="R93" s="457">
        <v>5</v>
      </c>
      <c r="S93" s="457">
        <v>6</v>
      </c>
      <c r="T93" s="457">
        <v>7</v>
      </c>
      <c r="U93" s="457">
        <v>8</v>
      </c>
      <c r="V93" s="448">
        <v>9</v>
      </c>
      <c r="W93" s="1224">
        <v>10</v>
      </c>
      <c r="X93" s="490"/>
      <c r="Y93" s="771">
        <f>Spells!B16</f>
        <v>5</v>
      </c>
      <c r="Z93" s="490"/>
      <c r="AA93" s="490"/>
      <c r="AB93" s="490"/>
      <c r="AC93" s="637"/>
    </row>
    <row r="94" spans="1:29" ht="19.5" customHeight="1" x14ac:dyDescent="0.3">
      <c r="A94" s="596"/>
      <c r="B94" s="769">
        <f>Skills!B39</f>
        <v>21</v>
      </c>
      <c r="C94" s="709" t="s">
        <v>552</v>
      </c>
      <c r="D94" s="710">
        <f>Skills!B208</f>
        <v>7</v>
      </c>
      <c r="E94" s="711" t="str">
        <f>Skills!B167</f>
        <v>Trained</v>
      </c>
      <c r="F94" s="1420"/>
      <c r="G94" s="712" t="s">
        <v>499</v>
      </c>
      <c r="H94" s="710">
        <f>Skills!B70</f>
        <v>4</v>
      </c>
      <c r="I94" s="713" t="str">
        <f>Skills!B71</f>
        <v>WIS</v>
      </c>
      <c r="J94" s="490"/>
      <c r="K94" s="130"/>
      <c r="L94" s="493"/>
      <c r="M94" s="670" t="s">
        <v>459</v>
      </c>
      <c r="N94" s="698" t="str">
        <f>IF(Spells!B6="","",Spells!B6)</f>
        <v>All</v>
      </c>
      <c r="O94" s="699" t="str">
        <f>IF(Spells!B7="","",Spells!B7)</f>
        <v>All</v>
      </c>
      <c r="P94" s="699" t="str">
        <f>IF(Spells!B8="","",Spells!B8)</f>
        <v>All</v>
      </c>
      <c r="Q94" s="699" t="str">
        <f>IF(Spells!B9="","",Spells!B9)</f>
        <v/>
      </c>
      <c r="R94" s="699"/>
      <c r="S94" s="699"/>
      <c r="T94" s="699"/>
      <c r="U94" s="699"/>
      <c r="V94" s="700"/>
      <c r="W94" s="1225"/>
      <c r="X94" s="671"/>
      <c r="Y94" s="130"/>
      <c r="Z94" s="490"/>
      <c r="AA94" s="490"/>
      <c r="AB94" s="490"/>
      <c r="AC94" s="637"/>
    </row>
    <row r="95" spans="1:29" s="450" customFormat="1" ht="19.5" customHeight="1" x14ac:dyDescent="0.3">
      <c r="A95" s="672"/>
      <c r="B95" s="673" t="s">
        <v>555</v>
      </c>
      <c r="C95" s="674"/>
      <c r="D95" s="674"/>
      <c r="E95" s="674"/>
      <c r="F95" s="674"/>
      <c r="G95" s="674"/>
      <c r="H95" s="674"/>
      <c r="I95" s="674"/>
      <c r="J95" s="674"/>
      <c r="M95" s="670" t="s">
        <v>936</v>
      </c>
      <c r="N95" s="1218">
        <f>IF(Spells!B27="","",Spells!B27)</f>
        <v>3</v>
      </c>
      <c r="O95" s="1219">
        <f>IF(Spells!B28="","",Spells!B28)</f>
        <v>3</v>
      </c>
      <c r="P95" s="1219">
        <f>IF(Spells!B29="","",Spells!B29)</f>
        <v>2</v>
      </c>
      <c r="Q95" s="1219" t="str">
        <f>IF(Spells!B30="","",Spells!B30)</f>
        <v/>
      </c>
      <c r="R95" s="1219" t="str">
        <f>IF(Spells!B31="","",Spells!B31)</f>
        <v/>
      </c>
      <c r="S95" s="1219" t="str">
        <f>IF(Spells!B32="","",Spells!B32)</f>
        <v/>
      </c>
      <c r="T95" s="1219" t="str">
        <f>IF(Spells!B33="","",Spells!B33)</f>
        <v/>
      </c>
      <c r="U95" s="1219" t="str">
        <f>IF(Spells!B34="","",Spells!B34)</f>
        <v/>
      </c>
      <c r="V95" s="1219" t="str">
        <f>IF(Spells!B35="","",Spells!B35)</f>
        <v/>
      </c>
      <c r="W95" s="1221" t="str">
        <f>IF(Spells!B36="","",Spells!B36)</f>
        <v/>
      </c>
      <c r="AB95" s="641"/>
      <c r="AC95" s="642"/>
    </row>
    <row r="96" spans="1:29" ht="19.5" customHeight="1" x14ac:dyDescent="0.3">
      <c r="A96" s="596"/>
      <c r="B96" s="490" t="str">
        <f>IF(Feats!B14="","",Feats!B14)</f>
        <v>Primal prepared spellcasting</v>
      </c>
      <c r="C96" s="130"/>
      <c r="D96" s="130"/>
      <c r="E96" s="490"/>
      <c r="F96" s="674"/>
      <c r="G96" s="490"/>
      <c r="H96" s="490"/>
      <c r="I96" s="674"/>
      <c r="J96" s="130"/>
      <c r="K96" s="640" t="s">
        <v>166</v>
      </c>
      <c r="L96" s="674"/>
      <c r="M96" s="674"/>
      <c r="N96" s="675"/>
      <c r="O96" s="675"/>
      <c r="P96" s="675"/>
      <c r="Q96" s="675"/>
      <c r="R96" s="675"/>
      <c r="S96" s="675"/>
      <c r="T96" s="675"/>
      <c r="U96" s="675"/>
      <c r="V96" s="675"/>
      <c r="W96" s="675"/>
      <c r="X96" s="674"/>
      <c r="Y96" s="674"/>
      <c r="Z96" s="641"/>
      <c r="AA96" s="641"/>
      <c r="AB96" s="490"/>
      <c r="AC96" s="637"/>
    </row>
    <row r="97" spans="1:35" ht="19.5" customHeight="1" x14ac:dyDescent="0.3">
      <c r="A97" s="596"/>
      <c r="B97" s="676" t="s">
        <v>557</v>
      </c>
      <c r="C97" s="130"/>
      <c r="D97" s="130"/>
      <c r="E97" s="674"/>
      <c r="F97" s="491" t="str">
        <f>IF(Spells!B5="","",Spells!B5)</f>
        <v>All</v>
      </c>
      <c r="G97" s="130"/>
      <c r="H97" s="674"/>
      <c r="I97" s="674"/>
      <c r="J97" s="130"/>
      <c r="K97" s="1423" t="str">
        <f>IF(Spells!B98="","","["&amp;Spells!B98&amp;"] "&amp;Spells!B99&amp;" ["&amp;Spells!B101&amp;"]")</f>
        <v>[Level 1] Goblin Pox [2 (SV)]</v>
      </c>
      <c r="L97" s="1424"/>
      <c r="M97" s="1425"/>
      <c r="N97" s="1425"/>
      <c r="O97" s="1425"/>
      <c r="P97" s="1425"/>
      <c r="Q97" s="1425"/>
      <c r="R97" s="1426"/>
      <c r="S97" s="1404"/>
      <c r="T97" s="1427"/>
      <c r="U97" s="1424"/>
      <c r="V97" s="747"/>
      <c r="W97" s="747"/>
      <c r="X97" s="747"/>
      <c r="Y97" s="747"/>
      <c r="Z97" s="747"/>
      <c r="AA97" s="1350"/>
      <c r="AB97" s="490"/>
      <c r="AC97" s="637"/>
    </row>
    <row r="98" spans="1:35" ht="19.5" customHeight="1" x14ac:dyDescent="0.25">
      <c r="A98" s="596"/>
      <c r="B98" s="676" t="s">
        <v>165</v>
      </c>
      <c r="C98" s="130"/>
      <c r="D98" s="130"/>
      <c r="E98" s="130"/>
      <c r="F98" s="130"/>
      <c r="G98" s="130"/>
      <c r="H98" s="130"/>
      <c r="I98" s="130"/>
      <c r="J98" s="130"/>
      <c r="K98" s="1428" t="str">
        <f>IF(Spells!B100="","",Spells!B100)</f>
        <v>1 creat, Touch, FOR, sickened 1</v>
      </c>
      <c r="L98" s="749"/>
      <c r="M98" s="1429"/>
      <c r="N98" s="1429"/>
      <c r="O98" s="1429"/>
      <c r="P98" s="1429"/>
      <c r="Q98" s="1430"/>
      <c r="R98" s="1431"/>
      <c r="S98" s="1432"/>
      <c r="T98" s="1433"/>
      <c r="U98" s="749"/>
      <c r="V98" s="1434"/>
      <c r="W98" s="1434"/>
      <c r="X98" s="1434"/>
      <c r="Y98" s="1434"/>
      <c r="Z98" s="1434"/>
      <c r="AA98" s="1435"/>
      <c r="AB98" s="490"/>
      <c r="AC98" s="637"/>
    </row>
    <row r="99" spans="1:35" ht="19.5" customHeight="1" x14ac:dyDescent="0.25">
      <c r="A99" s="596"/>
      <c r="B99" s="1449" t="str">
        <f>IF(Spells!B54="","","["&amp;Spells!B54&amp;"] "&amp;Spells!B55&amp;" ["&amp;Spells!B57&amp;"]")</f>
        <v>[Cantrip] Detect Magic [2 (SV)]</v>
      </c>
      <c r="C99" s="1330"/>
      <c r="D99" s="1330"/>
      <c r="E99" s="1450"/>
      <c r="F99" s="1450"/>
      <c r="G99" s="1451"/>
      <c r="H99" s="1452"/>
      <c r="I99" s="1453"/>
      <c r="J99" s="130"/>
      <c r="K99" s="1436" t="str">
        <f>IF(Spells!B102="","","["&amp;Spells!B102&amp;"] "&amp;Spells!B103&amp;" ["&amp;Spells!B105&amp;"]")</f>
        <v>[Level 1] Heal [1(S)/2(SV)//3(MSV)]</v>
      </c>
      <c r="L99" s="749"/>
      <c r="M99" s="1429"/>
      <c r="N99" s="1429"/>
      <c r="O99" s="1429"/>
      <c r="P99" s="1429"/>
      <c r="Q99" s="1430"/>
      <c r="R99" s="1431"/>
      <c r="S99" s="1432"/>
      <c r="T99" s="1433"/>
      <c r="U99" s="749"/>
      <c r="V99" s="1434"/>
      <c r="W99" s="1434"/>
      <c r="X99" s="1434"/>
      <c r="Y99" s="1434"/>
      <c r="Z99" s="1434"/>
      <c r="AA99" s="1435"/>
      <c r="AB99" s="490"/>
      <c r="AC99" s="637"/>
    </row>
    <row r="100" spans="1:35" ht="19.5" customHeight="1" x14ac:dyDescent="0.25">
      <c r="A100" s="596"/>
      <c r="B100" s="1454" t="str">
        <f>IF(Spells!B56="","",Spells!B56)</f>
        <v>30' emanation</v>
      </c>
      <c r="C100" s="1334"/>
      <c r="D100" s="1334"/>
      <c r="E100" s="1455"/>
      <c r="F100" s="1455"/>
      <c r="G100" s="1455"/>
      <c r="H100" s="1456"/>
      <c r="I100" s="1457"/>
      <c r="J100" s="130"/>
      <c r="K100" s="1428" t="str">
        <f>IF(Spells!B104="","",Spells!B104)</f>
        <v>1 creat//30', Touch/30', d8/d8+8//d8"</v>
      </c>
      <c r="L100" s="749"/>
      <c r="M100" s="1429"/>
      <c r="N100" s="1429"/>
      <c r="O100" s="1429"/>
      <c r="P100" s="1429"/>
      <c r="Q100" s="1430"/>
      <c r="R100" s="1431"/>
      <c r="S100" s="1432"/>
      <c r="T100" s="1433"/>
      <c r="U100" s="749"/>
      <c r="V100" s="1434"/>
      <c r="W100" s="1434"/>
      <c r="X100" s="1434"/>
      <c r="Y100" s="1434"/>
      <c r="Z100" s="1434"/>
      <c r="AA100" s="1435"/>
      <c r="AB100" s="490"/>
      <c r="AC100" s="637"/>
    </row>
    <row r="101" spans="1:35" ht="19.5" customHeight="1" x14ac:dyDescent="0.25">
      <c r="A101" s="596"/>
      <c r="B101" s="1458" t="str">
        <f>IF(Spells!B58="","","["&amp;Spells!B58&amp;"] "&amp;Spells!B59&amp;" ["&amp;Spells!B61&amp;"]")</f>
        <v>[Cantrip] Prestidigitation [2 (SV)]</v>
      </c>
      <c r="C101" s="1335"/>
      <c r="D101" s="1334"/>
      <c r="E101" s="1455"/>
      <c r="F101" s="1456"/>
      <c r="G101" s="1455"/>
      <c r="H101" s="1459"/>
      <c r="I101" s="1457"/>
      <c r="J101" s="130"/>
      <c r="K101" s="1436" t="str">
        <f>IF(Spells!B106="","","["&amp;Spells!B106&amp;"] "&amp;Spells!B107&amp;" ["&amp;Spells!B109&amp;"]")</f>
        <v>[Level 1] Protector Tree [2 (SV)]</v>
      </c>
      <c r="L101" s="749"/>
      <c r="M101" s="1429"/>
      <c r="N101" s="1429"/>
      <c r="O101" s="1429"/>
      <c r="P101" s="1429"/>
      <c r="Q101" s="1430"/>
      <c r="R101" s="1431"/>
      <c r="S101" s="1432"/>
      <c r="T101" s="1433"/>
      <c r="U101" s="749"/>
      <c r="V101" s="1434"/>
      <c r="W101" s="1434"/>
      <c r="X101" s="1434"/>
      <c r="Y101" s="1434"/>
      <c r="Z101" s="1434"/>
      <c r="AA101" s="1435"/>
      <c r="AB101" s="490"/>
      <c r="AC101" s="637"/>
    </row>
    <row r="102" spans="1:35" ht="19.5" customHeight="1" x14ac:dyDescent="0.25">
      <c r="A102" s="596"/>
      <c r="B102" s="1454" t="str">
        <f>IF(Spells!B60="","",Spells!B60)</f>
        <v>1 object, 10', sustained</v>
      </c>
      <c r="C102" s="1460"/>
      <c r="D102" s="1334"/>
      <c r="E102" s="1455"/>
      <c r="F102" s="1456"/>
      <c r="G102" s="1455"/>
      <c r="H102" s="1456"/>
      <c r="I102" s="1457"/>
      <c r="J102" s="130"/>
      <c r="K102" s="1428" t="str">
        <f>IF(Spells!B108="","",Spells!B108)</f>
        <v>1 tree, 30', 1 min, AC10, 30HP</v>
      </c>
      <c r="L102" s="749"/>
      <c r="M102" s="1429"/>
      <c r="N102" s="1429"/>
      <c r="O102" s="1429"/>
      <c r="P102" s="1429"/>
      <c r="Q102" s="1430"/>
      <c r="R102" s="1431"/>
      <c r="S102" s="1432"/>
      <c r="T102" s="1433"/>
      <c r="U102" s="749"/>
      <c r="V102" s="1434"/>
      <c r="W102" s="1434"/>
      <c r="X102" s="1434"/>
      <c r="Y102" s="1434"/>
      <c r="Z102" s="1434"/>
      <c r="AA102" s="1435"/>
      <c r="AB102" s="490"/>
      <c r="AC102" s="637"/>
    </row>
    <row r="103" spans="1:35" ht="19.5" customHeight="1" x14ac:dyDescent="0.25">
      <c r="A103" s="596"/>
      <c r="B103" s="1458" t="str">
        <f>IF(Spells!B62="","","["&amp;Spells!B62&amp;"] "&amp;Spells!B63&amp;" ["&amp;Spells!B65&amp;"]")</f>
        <v>[Cantrip] Produce Flame [2 (SV)]</v>
      </c>
      <c r="C103" s="1335"/>
      <c r="D103" s="1334"/>
      <c r="E103" s="1455"/>
      <c r="F103" s="1456"/>
      <c r="G103" s="1455"/>
      <c r="H103" s="1459"/>
      <c r="I103" s="1457"/>
      <c r="J103" s="130"/>
      <c r="K103" s="1436" t="str">
        <f>IF(Spells!B110="","","["&amp;Spells!B110&amp;"] "&amp;Spells!B111&amp;" ["&amp;Spells!B113&amp;"]")</f>
        <v>[Level 2] Faerie Fire [2 (SV)]</v>
      </c>
      <c r="L103" s="749"/>
      <c r="M103" s="1429"/>
      <c r="N103" s="1429"/>
      <c r="O103" s="1429"/>
      <c r="P103" s="1429"/>
      <c r="Q103" s="1430"/>
      <c r="R103" s="1431"/>
      <c r="S103" s="1432"/>
      <c r="T103" s="1433"/>
      <c r="U103" s="749"/>
      <c r="V103" s="1434"/>
      <c r="W103" s="1434"/>
      <c r="X103" s="1434"/>
      <c r="Y103" s="1434"/>
      <c r="Z103" s="1434"/>
      <c r="AA103" s="1435"/>
      <c r="AB103" s="490"/>
      <c r="AC103" s="637"/>
    </row>
    <row r="104" spans="1:35" ht="19.5" customHeight="1" x14ac:dyDescent="0.25">
      <c r="A104" s="596"/>
      <c r="B104" s="1454" t="str">
        <f>IF(Spells!B64="","",Spells!B64)</f>
        <v>1 creat, 30', spell att, 3d4+5 fire, crit 6d4+10 &amp; 3d4+1 persit</v>
      </c>
      <c r="C104" s="1460"/>
      <c r="D104" s="1334"/>
      <c r="E104" s="1455"/>
      <c r="F104" s="1456"/>
      <c r="G104" s="1455"/>
      <c r="H104" s="1456"/>
      <c r="I104" s="1457"/>
      <c r="J104" s="130"/>
      <c r="K104" s="1428" t="str">
        <f>IF(Spells!B112="","",Spells!B112)</f>
        <v>120', 10' burst, 5 min</v>
      </c>
      <c r="L104" s="749"/>
      <c r="M104" s="1429"/>
      <c r="N104" s="1429"/>
      <c r="O104" s="1429"/>
      <c r="P104" s="1430"/>
      <c r="Q104" s="1430"/>
      <c r="R104" s="1431"/>
      <c r="S104" s="1432"/>
      <c r="T104" s="1433"/>
      <c r="U104" s="749"/>
      <c r="V104" s="1434"/>
      <c r="W104" s="1434"/>
      <c r="X104" s="1434"/>
      <c r="Y104" s="1434"/>
      <c r="Z104" s="1434"/>
      <c r="AA104" s="1435"/>
      <c r="AB104" s="490"/>
      <c r="AC104" s="637"/>
    </row>
    <row r="105" spans="1:35" ht="19.5" customHeight="1" x14ac:dyDescent="0.25">
      <c r="A105" s="596"/>
      <c r="B105" s="1458" t="str">
        <f>IF(Spells!B66="","","["&amp;Spells!B66&amp;"] "&amp;Spells!B67&amp;" ["&amp;Spells!B69&amp;"]")</f>
        <v>[Cantrip] Protect Companion [1 (V)]</v>
      </c>
      <c r="C105" s="1335"/>
      <c r="D105" s="1334"/>
      <c r="E105" s="1455"/>
      <c r="F105" s="1456"/>
      <c r="G105" s="1455"/>
      <c r="H105" s="1459"/>
      <c r="I105" s="1457"/>
      <c r="J105" s="130"/>
      <c r="K105" s="1436" t="str">
        <f>IF(Spells!B114="","","["&amp;Spells!B114&amp;"] "&amp;Spells!B115&amp;" ["&amp;Spells!B117&amp;"]")</f>
        <v>[Level 2] Create Food [1 hour (SV)]</v>
      </c>
      <c r="L105" s="749"/>
      <c r="M105" s="1429"/>
      <c r="N105" s="1429"/>
      <c r="O105" s="1429"/>
      <c r="P105" s="1430"/>
      <c r="Q105" s="1430"/>
      <c r="R105" s="1431"/>
      <c r="S105" s="1432"/>
      <c r="T105" s="1433"/>
      <c r="U105" s="749"/>
      <c r="V105" s="1434"/>
      <c r="W105" s="1434"/>
      <c r="X105" s="1434"/>
      <c r="Y105" s="1434"/>
      <c r="Z105" s="1434"/>
      <c r="AA105" s="1435"/>
      <c r="AB105" s="490"/>
      <c r="AC105" s="637"/>
    </row>
    <row r="106" spans="1:35" ht="19.5" customHeight="1" x14ac:dyDescent="0.25">
      <c r="A106" s="596"/>
      <c r="B106" s="1454" t="str">
        <f>IF(Spells!B68="","",Spells!B68)</f>
        <v>1 minion, 30', until next turn, reaction, -20HP/-10HP</v>
      </c>
      <c r="C106" s="1460"/>
      <c r="D106" s="1334"/>
      <c r="E106" s="1455"/>
      <c r="F106" s="1456"/>
      <c r="G106" s="1455"/>
      <c r="H106" s="1456"/>
      <c r="I106" s="1457"/>
      <c r="J106" s="130"/>
      <c r="K106" s="1428" t="str">
        <f>IF(Spells!B116="","",Spells!B116)</f>
        <v>6 Medium creat, 1 day</v>
      </c>
      <c r="L106" s="749"/>
      <c r="M106" s="1429"/>
      <c r="N106" s="1429"/>
      <c r="O106" s="1429"/>
      <c r="P106" s="1430"/>
      <c r="Q106" s="1430"/>
      <c r="R106" s="1431"/>
      <c r="S106" s="1432"/>
      <c r="T106" s="1433"/>
      <c r="U106" s="749"/>
      <c r="V106" s="1434"/>
      <c r="W106" s="1434"/>
      <c r="X106" s="1434"/>
      <c r="Y106" s="1434"/>
      <c r="Z106" s="1434"/>
      <c r="AA106" s="1435"/>
      <c r="AB106" s="490"/>
      <c r="AC106" s="637"/>
    </row>
    <row r="107" spans="1:35" ht="19.5" customHeight="1" x14ac:dyDescent="0.25">
      <c r="A107" s="596"/>
      <c r="B107" s="1458" t="str">
        <f>IF(Spells!B70="","","["&amp;Spells!B70&amp;"] "&amp;Spells!B71&amp;" ["&amp;Spells!B73&amp;"]")</f>
        <v>[Cantrip] Tanglefoot [2 (SV)]</v>
      </c>
      <c r="C107" s="1335"/>
      <c r="D107" s="1334"/>
      <c r="E107" s="1455"/>
      <c r="F107" s="1456"/>
      <c r="G107" s="1455"/>
      <c r="H107" s="1459"/>
      <c r="I107" s="1457"/>
      <c r="J107" s="130"/>
      <c r="K107" s="1436" t="str">
        <f>IF(Spells!B118="","","["&amp;Spells!B118&amp;"] "&amp;Spells!B119&amp;" ["&amp;Spells!B121&amp;"]")</f>
        <v>[Level 2] Heal [2 (SV)]</v>
      </c>
      <c r="L107" s="749"/>
      <c r="M107" s="1429"/>
      <c r="N107" s="1429"/>
      <c r="O107" s="1429"/>
      <c r="P107" s="1430"/>
      <c r="Q107" s="1430"/>
      <c r="R107" s="1431"/>
      <c r="S107" s="1432"/>
      <c r="T107" s="1433"/>
      <c r="U107" s="749"/>
      <c r="V107" s="1434"/>
      <c r="W107" s="1434"/>
      <c r="X107" s="1434"/>
      <c r="Y107" s="1434"/>
      <c r="Z107" s="1434"/>
      <c r="AA107" s="1435"/>
      <c r="AB107" s="490"/>
      <c r="AC107" s="637"/>
    </row>
    <row r="108" spans="1:35" ht="19.5" customHeight="1" x14ac:dyDescent="0.25">
      <c r="A108" s="596"/>
      <c r="B108" s="1454" t="str">
        <f>IF(Spells!B72="","",Spells!B72)</f>
        <v>1 creat, 30', speed -10', Escape, 1 min</v>
      </c>
      <c r="C108" s="1460"/>
      <c r="D108" s="1334"/>
      <c r="E108" s="1455"/>
      <c r="F108" s="1456"/>
      <c r="G108" s="1455"/>
      <c r="H108" s="1459"/>
      <c r="I108" s="1457"/>
      <c r="J108" s="130"/>
      <c r="K108" s="1428" t="str">
        <f>IF(Spells!B120="","",Spells!B120)</f>
        <v>1 creat//30', Touch/30', 2d8/2d8+16//2d8</v>
      </c>
      <c r="L108" s="749"/>
      <c r="M108" s="1429"/>
      <c r="N108" s="1429"/>
      <c r="O108" s="1429"/>
      <c r="P108" s="1430"/>
      <c r="Q108" s="1430"/>
      <c r="R108" s="1431"/>
      <c r="S108" s="1432"/>
      <c r="T108" s="1433"/>
      <c r="U108" s="749"/>
      <c r="V108" s="1434"/>
      <c r="W108" s="1434"/>
      <c r="X108" s="1434"/>
      <c r="Y108" s="1434"/>
      <c r="Z108" s="1434"/>
      <c r="AA108" s="1435"/>
      <c r="AB108" s="490"/>
      <c r="AC108" s="637"/>
      <c r="AG108" s="627"/>
      <c r="AH108" s="627"/>
      <c r="AI108" s="627"/>
    </row>
    <row r="109" spans="1:35" ht="19.5" customHeight="1" x14ac:dyDescent="0.25">
      <c r="A109" s="596"/>
      <c r="B109" s="1458" t="str">
        <f>IF(Spells!B74="","","["&amp;Spells!B74&amp;"] "&amp;Spells!B75&amp;" ["&amp;Spells!B77&amp;"]")</f>
        <v/>
      </c>
      <c r="C109" s="1335"/>
      <c r="D109" s="1334"/>
      <c r="E109" s="1455"/>
      <c r="F109" s="1455"/>
      <c r="G109" s="1455"/>
      <c r="H109" s="1459"/>
      <c r="I109" s="1457"/>
      <c r="J109" s="130"/>
      <c r="K109" s="1436" t="str">
        <f>IF(Spells!B122="","","["&amp;Spells!B122&amp;"] "&amp;Spells!B123&amp;" ["&amp;Spells!B125&amp;"]")</f>
        <v>[Level 3] Fireball [2 (SV)]</v>
      </c>
      <c r="L109" s="749"/>
      <c r="M109" s="1429"/>
      <c r="N109" s="1429"/>
      <c r="O109" s="1429"/>
      <c r="P109" s="1430"/>
      <c r="Q109" s="1430"/>
      <c r="R109" s="1431"/>
      <c r="S109" s="1432"/>
      <c r="T109" s="1433"/>
      <c r="U109" s="749"/>
      <c r="V109" s="1434"/>
      <c r="W109" s="1434"/>
      <c r="X109" s="1434"/>
      <c r="Y109" s="1434"/>
      <c r="Z109" s="1434"/>
      <c r="AA109" s="1435"/>
      <c r="AB109" s="490"/>
      <c r="AC109" s="637"/>
      <c r="AG109" s="627"/>
      <c r="AH109" s="627"/>
      <c r="AI109" s="627"/>
    </row>
    <row r="110" spans="1:35" ht="19.5" customHeight="1" x14ac:dyDescent="0.25">
      <c r="A110" s="596"/>
      <c r="B110" s="1454" t="str">
        <f>IF(Spells!B76="","",Spells!B76)</f>
        <v/>
      </c>
      <c r="C110" s="1460"/>
      <c r="D110" s="1334"/>
      <c r="E110" s="1455"/>
      <c r="F110" s="1455"/>
      <c r="G110" s="1455"/>
      <c r="H110" s="1459"/>
      <c r="I110" s="1457"/>
      <c r="J110" s="130"/>
      <c r="K110" s="1428" t="str">
        <f>IF(Spells!B124="","",Spells!B124)</f>
        <v>500', 20' burst, basic REF, 6d6+1 fire dmg</v>
      </c>
      <c r="L110" s="749"/>
      <c r="M110" s="1429"/>
      <c r="N110" s="1429"/>
      <c r="O110" s="1429"/>
      <c r="P110" s="1430"/>
      <c r="Q110" s="1430"/>
      <c r="R110" s="1431"/>
      <c r="S110" s="1432"/>
      <c r="T110" s="1433"/>
      <c r="U110" s="749"/>
      <c r="V110" s="1434"/>
      <c r="W110" s="1434"/>
      <c r="X110" s="1434"/>
      <c r="Y110" s="1434"/>
      <c r="Z110" s="1434"/>
      <c r="AA110" s="1435"/>
      <c r="AB110" s="490"/>
      <c r="AC110" s="637"/>
      <c r="AG110" s="627"/>
      <c r="AH110" s="627"/>
      <c r="AI110" s="627"/>
    </row>
    <row r="111" spans="1:35" ht="19.5" customHeight="1" x14ac:dyDescent="0.25">
      <c r="A111" s="596"/>
      <c r="B111" s="1458" t="str">
        <f>IF(Spells!B78="","","["&amp;Spells!B78&amp;"] "&amp;Spells!B79&amp;" ["&amp;Spells!B81&amp;"]")</f>
        <v/>
      </c>
      <c r="C111" s="1335"/>
      <c r="D111" s="1334"/>
      <c r="E111" s="1455"/>
      <c r="F111" s="1455"/>
      <c r="G111" s="1455"/>
      <c r="H111" s="1459"/>
      <c r="I111" s="1457"/>
      <c r="J111" s="130"/>
      <c r="K111" s="1437" t="str">
        <f>IF(Spells!B126="","","["&amp;Spells!B126&amp;"] "&amp;Spells!B127&amp;" ["&amp;Spells!B129&amp;"]")</f>
        <v>[Level 3] Fireball [2 (SV)]</v>
      </c>
      <c r="L111" s="749"/>
      <c r="M111" s="1429"/>
      <c r="N111" s="1429"/>
      <c r="O111" s="1429"/>
      <c r="P111" s="1430"/>
      <c r="Q111" s="1430"/>
      <c r="R111" s="1431"/>
      <c r="S111" s="1432"/>
      <c r="T111" s="1438"/>
      <c r="U111" s="749"/>
      <c r="V111" s="1434"/>
      <c r="W111" s="1434"/>
      <c r="X111" s="1434"/>
      <c r="Y111" s="1434"/>
      <c r="Z111" s="1434"/>
      <c r="AA111" s="1435"/>
      <c r="AB111" s="490"/>
      <c r="AC111" s="637"/>
      <c r="AG111" s="627"/>
      <c r="AH111" s="627"/>
      <c r="AI111" s="627"/>
    </row>
    <row r="112" spans="1:35" ht="19.5" customHeight="1" x14ac:dyDescent="0.25">
      <c r="A112" s="596"/>
      <c r="B112" s="1454" t="str">
        <f>IF(Spells!B80="","",Spells!B80)</f>
        <v/>
      </c>
      <c r="C112" s="1335"/>
      <c r="D112" s="1334"/>
      <c r="E112" s="1455"/>
      <c r="F112" s="1455"/>
      <c r="G112" s="1455"/>
      <c r="H112" s="1459"/>
      <c r="I112" s="1457"/>
      <c r="J112" s="130"/>
      <c r="K112" s="1428" t="str">
        <f>IF(Spells!B128="","",Spells!B128)</f>
        <v>500', 20' burst, basic REF, 6d6+1 fire dmg</v>
      </c>
      <c r="L112" s="749"/>
      <c r="M112" s="1429"/>
      <c r="N112" s="1429"/>
      <c r="O112" s="1429"/>
      <c r="P112" s="1430"/>
      <c r="Q112" s="1430"/>
      <c r="R112" s="1431"/>
      <c r="S112" s="1432"/>
      <c r="T112" s="1438"/>
      <c r="U112" s="1439"/>
      <c r="V112" s="1434"/>
      <c r="W112" s="1434"/>
      <c r="X112" s="1434"/>
      <c r="Y112" s="1434"/>
      <c r="Z112" s="1434"/>
      <c r="AA112" s="1435"/>
      <c r="AB112" s="490"/>
      <c r="AC112" s="637"/>
      <c r="AG112" s="627"/>
      <c r="AH112" s="627"/>
      <c r="AI112" s="627"/>
    </row>
    <row r="113" spans="1:35" s="627" customFormat="1" ht="19.5" customHeight="1" x14ac:dyDescent="0.25">
      <c r="A113" s="596"/>
      <c r="B113" s="1458" t="str">
        <f>IF(Spells!B82="","","["&amp;Spells!B82&amp;"] "&amp;Spells!B83&amp;" ["&amp;Spells!B85&amp;"]")</f>
        <v/>
      </c>
      <c r="C113" s="1335"/>
      <c r="D113" s="1334"/>
      <c r="E113" s="1455"/>
      <c r="F113" s="1455"/>
      <c r="G113" s="1455"/>
      <c r="H113" s="1459"/>
      <c r="I113" s="1457"/>
      <c r="J113" s="130"/>
      <c r="K113" s="1437" t="str">
        <f>IF(Spells!B130="","","["&amp;Spells!B130&amp;"] "&amp;Spells!B131&amp;" ["&amp;Spells!B133&amp;"]")</f>
        <v/>
      </c>
      <c r="L113" s="749"/>
      <c r="M113" s="1429"/>
      <c r="N113" s="1429"/>
      <c r="O113" s="1429"/>
      <c r="P113" s="1430"/>
      <c r="Q113" s="1430"/>
      <c r="R113" s="1431"/>
      <c r="S113" s="1432"/>
      <c r="T113" s="1438"/>
      <c r="U113" s="1439"/>
      <c r="V113" s="1434"/>
      <c r="W113" s="1434"/>
      <c r="X113" s="1434"/>
      <c r="Y113" s="1434"/>
      <c r="Z113" s="1434"/>
      <c r="AA113" s="1435"/>
      <c r="AB113" s="791"/>
      <c r="AC113" s="637"/>
    </row>
    <row r="114" spans="1:35" s="627" customFormat="1" ht="19.5" customHeight="1" x14ac:dyDescent="0.25">
      <c r="A114" s="596"/>
      <c r="B114" s="1454" t="str">
        <f>IF(Spells!B84="","",Spells!B84)</f>
        <v/>
      </c>
      <c r="C114" s="1335"/>
      <c r="D114" s="1334"/>
      <c r="E114" s="1455"/>
      <c r="F114" s="1455"/>
      <c r="G114" s="1455"/>
      <c r="H114" s="1459"/>
      <c r="I114" s="1457"/>
      <c r="J114" s="130"/>
      <c r="K114" s="1428" t="str">
        <f>IF(Spells!B132="","",Spells!B132)</f>
        <v/>
      </c>
      <c r="L114" s="1439"/>
      <c r="M114" s="1429"/>
      <c r="N114" s="1429"/>
      <c r="O114" s="1429"/>
      <c r="P114" s="1430"/>
      <c r="Q114" s="1430"/>
      <c r="R114" s="1431"/>
      <c r="S114" s="1432"/>
      <c r="T114" s="1438"/>
      <c r="U114" s="1439"/>
      <c r="V114" s="1434"/>
      <c r="W114" s="1434"/>
      <c r="X114" s="1434"/>
      <c r="Y114" s="1434"/>
      <c r="Z114" s="1434"/>
      <c r="AA114" s="1435"/>
      <c r="AB114" s="791"/>
      <c r="AC114" s="637"/>
    </row>
    <row r="115" spans="1:35" s="627" customFormat="1" ht="19.5" customHeight="1" x14ac:dyDescent="0.25">
      <c r="A115" s="596"/>
      <c r="B115" s="1458" t="str">
        <f>IF(Spells!B86="","","["&amp;Spells!B86&amp;"] "&amp;Spells!B87&amp;" ["&amp;Spells!B89&amp;"]")</f>
        <v/>
      </c>
      <c r="C115" s="1335"/>
      <c r="D115" s="1334"/>
      <c r="E115" s="1455"/>
      <c r="F115" s="1455"/>
      <c r="G115" s="1455"/>
      <c r="H115" s="1459"/>
      <c r="I115" s="1457"/>
      <c r="J115" s="130"/>
      <c r="K115" s="1437" t="str">
        <f>IF(Spells!B134="","","["&amp;Spells!B134&amp;"] "&amp;Spells!B135&amp;" ["&amp;Spells!B137&amp;"]")</f>
        <v/>
      </c>
      <c r="L115" s="1439"/>
      <c r="M115" s="1429"/>
      <c r="N115" s="1429"/>
      <c r="O115" s="1429"/>
      <c r="P115" s="1430"/>
      <c r="Q115" s="1430"/>
      <c r="R115" s="1431"/>
      <c r="S115" s="1432"/>
      <c r="T115" s="1438"/>
      <c r="U115" s="1439"/>
      <c r="V115" s="1434"/>
      <c r="W115" s="1434"/>
      <c r="X115" s="1434"/>
      <c r="Y115" s="1434"/>
      <c r="Z115" s="1434"/>
      <c r="AA115" s="1435"/>
      <c r="AB115" s="791"/>
      <c r="AC115" s="637"/>
    </row>
    <row r="116" spans="1:35" s="627" customFormat="1" ht="19.5" customHeight="1" x14ac:dyDescent="0.25">
      <c r="A116" s="596"/>
      <c r="B116" s="1454" t="str">
        <f>IF(Spells!B88="","",Spells!B88)</f>
        <v/>
      </c>
      <c r="C116" s="1335"/>
      <c r="D116" s="1334"/>
      <c r="E116" s="1455"/>
      <c r="F116" s="1455"/>
      <c r="G116" s="1455"/>
      <c r="H116" s="1459"/>
      <c r="I116" s="1457"/>
      <c r="J116" s="130"/>
      <c r="K116" s="1428" t="str">
        <f>IF(Spells!B136="","",Spells!B136)</f>
        <v/>
      </c>
      <c r="L116" s="1439"/>
      <c r="M116" s="1429"/>
      <c r="N116" s="1429"/>
      <c r="O116" s="1429"/>
      <c r="P116" s="1430"/>
      <c r="Q116" s="1430"/>
      <c r="R116" s="1431"/>
      <c r="S116" s="1432"/>
      <c r="T116" s="1438"/>
      <c r="U116" s="1439"/>
      <c r="V116" s="1434"/>
      <c r="W116" s="1434"/>
      <c r="X116" s="1434"/>
      <c r="Y116" s="1434"/>
      <c r="Z116" s="1434"/>
      <c r="AA116" s="1435"/>
      <c r="AB116" s="791"/>
      <c r="AC116" s="637"/>
    </row>
    <row r="117" spans="1:35" s="627" customFormat="1" ht="19.5" hidden="1" customHeight="1" outlineLevel="1" x14ac:dyDescent="0.25">
      <c r="A117" s="596"/>
      <c r="B117" s="1458" t="str">
        <f>IF(Spells!B90="","","["&amp;Spells!B90&amp;"] "&amp;Spells!B91&amp;" ["&amp;Spells!B93&amp;"]")</f>
        <v/>
      </c>
      <c r="C117" s="1335"/>
      <c r="D117" s="1334"/>
      <c r="E117" s="1455"/>
      <c r="F117" s="1455"/>
      <c r="G117" s="1455"/>
      <c r="H117" s="1459"/>
      <c r="I117" s="1457"/>
      <c r="J117" s="130"/>
      <c r="K117" s="1437" t="str">
        <f>IF(Spells!B138="","","["&amp;Spells!B138&amp;"] "&amp;Spells!B139&amp;" ["&amp;Spells!B141&amp;"]")</f>
        <v/>
      </c>
      <c r="L117" s="1439"/>
      <c r="M117" s="1429"/>
      <c r="N117" s="1429"/>
      <c r="O117" s="1429"/>
      <c r="P117" s="1430"/>
      <c r="Q117" s="1430"/>
      <c r="R117" s="1431"/>
      <c r="S117" s="1432"/>
      <c r="T117" s="1438"/>
      <c r="U117" s="1439"/>
      <c r="V117" s="1434"/>
      <c r="W117" s="1434"/>
      <c r="X117" s="1434"/>
      <c r="Y117" s="1434"/>
      <c r="Z117" s="1434"/>
      <c r="AA117" s="1435"/>
      <c r="AB117" s="791"/>
      <c r="AC117" s="637"/>
    </row>
    <row r="118" spans="1:35" s="627" customFormat="1" ht="19.5" hidden="1" customHeight="1" outlineLevel="1" x14ac:dyDescent="0.25">
      <c r="A118" s="596"/>
      <c r="B118" s="1454" t="str">
        <f>IF(Spells!B92="","",Spells!B92)</f>
        <v/>
      </c>
      <c r="C118" s="1335"/>
      <c r="D118" s="1334"/>
      <c r="E118" s="1455"/>
      <c r="F118" s="1455"/>
      <c r="G118" s="1455"/>
      <c r="H118" s="1459"/>
      <c r="I118" s="1457"/>
      <c r="J118" s="130"/>
      <c r="K118" s="1428" t="str">
        <f>IF(Spells!B140="","",Spells!B140)</f>
        <v/>
      </c>
      <c r="L118" s="1439"/>
      <c r="M118" s="1429"/>
      <c r="N118" s="1429"/>
      <c r="O118" s="1429"/>
      <c r="P118" s="1430"/>
      <c r="Q118" s="1430"/>
      <c r="R118" s="1431"/>
      <c r="S118" s="1432"/>
      <c r="T118" s="1438"/>
      <c r="U118" s="1439"/>
      <c r="V118" s="1434"/>
      <c r="W118" s="1434"/>
      <c r="X118" s="1434"/>
      <c r="Y118" s="1434"/>
      <c r="Z118" s="1434"/>
      <c r="AA118" s="1435"/>
      <c r="AB118" s="791"/>
      <c r="AC118" s="637"/>
    </row>
    <row r="119" spans="1:35" ht="19.5" hidden="1" customHeight="1" outlineLevel="1" x14ac:dyDescent="0.25">
      <c r="A119" s="596"/>
      <c r="B119" s="1458" t="str">
        <f>IF(Spells!B94="","","["&amp;Spells!B94&amp;"] "&amp;Spells!B95&amp;" ["&amp;Spells!B97&amp;"]")</f>
        <v/>
      </c>
      <c r="C119" s="1335"/>
      <c r="D119" s="1334"/>
      <c r="E119" s="1455"/>
      <c r="F119" s="1455"/>
      <c r="G119" s="1455"/>
      <c r="H119" s="1459"/>
      <c r="I119" s="1457"/>
      <c r="J119" s="130"/>
      <c r="K119" s="1437" t="str">
        <f>IF(Spells!B142="","","["&amp;Spells!B142&amp;"] "&amp;Spells!B143&amp;" ["&amp;Spells!B145&amp;"]")</f>
        <v/>
      </c>
      <c r="L119" s="1439"/>
      <c r="M119" s="1429"/>
      <c r="N119" s="1429"/>
      <c r="O119" s="1429"/>
      <c r="P119" s="1430"/>
      <c r="Q119" s="1430"/>
      <c r="R119" s="1431"/>
      <c r="S119" s="1432"/>
      <c r="T119" s="1438"/>
      <c r="U119" s="1439"/>
      <c r="V119" s="1434"/>
      <c r="W119" s="1434"/>
      <c r="X119" s="1434"/>
      <c r="Y119" s="1434"/>
      <c r="Z119" s="1434"/>
      <c r="AA119" s="1435"/>
      <c r="AB119" s="490"/>
      <c r="AC119" s="637"/>
      <c r="AG119" s="627"/>
      <c r="AH119" s="627"/>
      <c r="AI119" s="627"/>
    </row>
    <row r="120" spans="1:35" ht="19.5" customHeight="1" collapsed="1" x14ac:dyDescent="0.25">
      <c r="A120" s="596"/>
      <c r="B120" s="1461" t="str">
        <f>IF(Spells!B96="","",Spells!B96)</f>
        <v/>
      </c>
      <c r="C120" s="1338"/>
      <c r="D120" s="1462"/>
      <c r="E120" s="1463"/>
      <c r="F120" s="1463"/>
      <c r="G120" s="1463"/>
      <c r="H120" s="1464"/>
      <c r="I120" s="1465"/>
      <c r="J120" s="130"/>
      <c r="K120" s="1428" t="str">
        <f>IF(Spells!B144="","",Spells!B144)</f>
        <v/>
      </c>
      <c r="L120" s="1439"/>
      <c r="M120" s="1429"/>
      <c r="N120" s="1429"/>
      <c r="O120" s="1429"/>
      <c r="P120" s="1430"/>
      <c r="Q120" s="1430"/>
      <c r="R120" s="1431"/>
      <c r="S120" s="1432"/>
      <c r="T120" s="1438"/>
      <c r="U120" s="1439"/>
      <c r="V120" s="1434"/>
      <c r="W120" s="1434"/>
      <c r="X120" s="1434"/>
      <c r="Y120" s="1434"/>
      <c r="Z120" s="1434"/>
      <c r="AA120" s="1435"/>
      <c r="AB120" s="490"/>
      <c r="AC120" s="637"/>
      <c r="AG120" s="627"/>
      <c r="AH120" s="627"/>
      <c r="AI120" s="627"/>
    </row>
    <row r="121" spans="1:35" ht="19.5" hidden="1" customHeight="1" outlineLevel="1" x14ac:dyDescent="0.25">
      <c r="A121" s="596"/>
      <c r="C121" s="490"/>
      <c r="D121" s="130"/>
      <c r="E121" s="130"/>
      <c r="F121" s="130"/>
      <c r="G121" s="130"/>
      <c r="H121" s="130"/>
      <c r="I121" s="130"/>
      <c r="J121" s="130"/>
      <c r="K121" s="1437" t="str">
        <f>IF(Spells!B146="","","["&amp;Spells!B146&amp;"] "&amp;Spells!B147&amp;" ["&amp;Spells!B149&amp;"]")</f>
        <v/>
      </c>
      <c r="L121" s="1439"/>
      <c r="M121" s="1434"/>
      <c r="N121" s="1434"/>
      <c r="O121" s="1434"/>
      <c r="P121" s="1434"/>
      <c r="Q121" s="1434"/>
      <c r="R121" s="1435"/>
      <c r="S121" s="1432"/>
      <c r="T121" s="1438"/>
      <c r="U121" s="1439"/>
      <c r="V121" s="1434"/>
      <c r="W121" s="1434"/>
      <c r="X121" s="1434"/>
      <c r="Y121" s="1434"/>
      <c r="Z121" s="1434"/>
      <c r="AA121" s="1435"/>
      <c r="AB121" s="490"/>
      <c r="AC121" s="637"/>
      <c r="AG121" s="627"/>
      <c r="AH121" s="627"/>
      <c r="AI121" s="627"/>
    </row>
    <row r="122" spans="1:35" ht="19.5" hidden="1" customHeight="1" outlineLevel="1" x14ac:dyDescent="0.25">
      <c r="A122" s="596"/>
      <c r="B122" s="676" t="s">
        <v>558</v>
      </c>
      <c r="C122" s="457"/>
      <c r="D122" s="496"/>
      <c r="E122" s="457"/>
      <c r="F122" s="456"/>
      <c r="G122" s="496"/>
      <c r="H122" s="495"/>
      <c r="I122" s="456"/>
      <c r="J122" s="130"/>
      <c r="K122" s="1428" t="str">
        <f>IF(Spells!B148="","",Spells!B148)</f>
        <v/>
      </c>
      <c r="L122" s="1439"/>
      <c r="M122" s="1434"/>
      <c r="N122" s="1434"/>
      <c r="O122" s="1434"/>
      <c r="P122" s="1434"/>
      <c r="Q122" s="1434"/>
      <c r="R122" s="1435"/>
      <c r="S122" s="1432"/>
      <c r="T122" s="1438"/>
      <c r="U122" s="1439"/>
      <c r="V122" s="1434"/>
      <c r="W122" s="1434"/>
      <c r="X122" s="1434"/>
      <c r="Y122" s="1434"/>
      <c r="Z122" s="1434"/>
      <c r="AA122" s="1435"/>
      <c r="AB122" s="490"/>
      <c r="AC122" s="637"/>
      <c r="AG122" s="627"/>
      <c r="AH122" s="627"/>
      <c r="AI122" s="627"/>
    </row>
    <row r="123" spans="1:35" ht="19.5" hidden="1" customHeight="1" outlineLevel="1" x14ac:dyDescent="0.25">
      <c r="A123" s="596"/>
      <c r="B123" s="1482" t="str">
        <f>IF(Spells!B37="","","["&amp;Spells!B37&amp;"] "&amp;Spells!B38&amp;" ["&amp;Spells!B40&amp;"]")</f>
        <v/>
      </c>
      <c r="C123" s="1466"/>
      <c r="D123" s="706"/>
      <c r="E123" s="706"/>
      <c r="F123" s="706"/>
      <c r="G123" s="706"/>
      <c r="H123" s="1483"/>
      <c r="I123" s="708"/>
      <c r="J123" s="130"/>
      <c r="K123" s="1437" t="str">
        <f>IF(Spells!B150="","","["&amp;Spells!B150&amp;"] "&amp;Spells!B151&amp;" ["&amp;Spells!B153&amp;"]")</f>
        <v/>
      </c>
      <c r="L123" s="1439"/>
      <c r="M123" s="1434"/>
      <c r="N123" s="1434"/>
      <c r="O123" s="1434"/>
      <c r="P123" s="1434"/>
      <c r="Q123" s="1434"/>
      <c r="R123" s="1435"/>
      <c r="S123" s="1432"/>
      <c r="T123" s="1438"/>
      <c r="U123" s="1439"/>
      <c r="V123" s="1434"/>
      <c r="W123" s="1434"/>
      <c r="X123" s="1434"/>
      <c r="Y123" s="1434"/>
      <c r="Z123" s="1434"/>
      <c r="AA123" s="1435"/>
      <c r="AB123" s="490"/>
      <c r="AC123" s="637"/>
      <c r="AG123" s="627"/>
      <c r="AH123" s="627"/>
      <c r="AI123" s="627"/>
    </row>
    <row r="124" spans="1:35" ht="19.5" hidden="1" customHeight="1" outlineLevel="1" x14ac:dyDescent="0.25">
      <c r="A124" s="596"/>
      <c r="B124" s="1484" t="str">
        <f>IF(Spells!B39="","",Spells!B39)</f>
        <v/>
      </c>
      <c r="C124" s="1485"/>
      <c r="D124" s="1485"/>
      <c r="E124" s="1485"/>
      <c r="F124" s="1485"/>
      <c r="G124" s="1485"/>
      <c r="H124" s="1486"/>
      <c r="I124" s="1487"/>
      <c r="J124" s="130"/>
      <c r="K124" s="1440" t="str">
        <f>IF(Spells!B152="","",Spells!B152)</f>
        <v/>
      </c>
      <c r="L124" s="1439"/>
      <c r="M124" s="1434"/>
      <c r="N124" s="1434"/>
      <c r="O124" s="1434"/>
      <c r="P124" s="1434"/>
      <c r="Q124" s="1434"/>
      <c r="R124" s="1435"/>
      <c r="S124" s="1432"/>
      <c r="T124" s="1438"/>
      <c r="U124" s="1439"/>
      <c r="V124" s="1434"/>
      <c r="W124" s="1434"/>
      <c r="X124" s="1434"/>
      <c r="Y124" s="1434"/>
      <c r="Z124" s="1434"/>
      <c r="AA124" s="1435"/>
      <c r="AB124" s="490"/>
      <c r="AC124" s="637"/>
    </row>
    <row r="125" spans="1:35" ht="19.5" hidden="1" customHeight="1" outlineLevel="1" x14ac:dyDescent="0.25">
      <c r="A125" s="596"/>
      <c r="B125" s="1488" t="str">
        <f>IF(Spells!B41="","","["&amp;Spells!B41&amp;"] "&amp;Spells!B42&amp;" ["&amp;Spells!B44&amp;"]")</f>
        <v/>
      </c>
      <c r="C125" s="1485"/>
      <c r="D125" s="1485"/>
      <c r="E125" s="1485"/>
      <c r="F125" s="1485"/>
      <c r="G125" s="1485"/>
      <c r="H125" s="1489"/>
      <c r="I125" s="1487"/>
      <c r="J125" s="130"/>
      <c r="K125" s="1437" t="str">
        <f>IF(Spells!B154="","","["&amp;Spells!B154&amp;"] "&amp;Spells!B155&amp;" ["&amp;Spells!B157&amp;"]")</f>
        <v/>
      </c>
      <c r="L125" s="1439"/>
      <c r="M125" s="1434"/>
      <c r="N125" s="1434"/>
      <c r="O125" s="1434"/>
      <c r="P125" s="1434"/>
      <c r="Q125" s="1434"/>
      <c r="R125" s="1435"/>
      <c r="S125" s="1432"/>
      <c r="T125" s="1438"/>
      <c r="U125" s="1439"/>
      <c r="V125" s="1434"/>
      <c r="W125" s="1434"/>
      <c r="X125" s="1434"/>
      <c r="Y125" s="1434"/>
      <c r="Z125" s="1434"/>
      <c r="AA125" s="1435"/>
      <c r="AB125" s="490"/>
      <c r="AC125" s="637"/>
    </row>
    <row r="126" spans="1:35" ht="19.5" hidden="1" customHeight="1" outlineLevel="1" x14ac:dyDescent="0.25">
      <c r="A126" s="596"/>
      <c r="B126" s="1490" t="str">
        <f>IF(Spells!B43="","",Spells!B43)</f>
        <v/>
      </c>
      <c r="C126" s="711"/>
      <c r="D126" s="711"/>
      <c r="E126" s="711"/>
      <c r="F126" s="711"/>
      <c r="G126" s="711"/>
      <c r="H126" s="1420"/>
      <c r="I126" s="713"/>
      <c r="J126" s="130"/>
      <c r="K126" s="1440" t="str">
        <f>IF(Spells!B156="","",Spells!B156)</f>
        <v/>
      </c>
      <c r="L126" s="1439"/>
      <c r="M126" s="1434"/>
      <c r="N126" s="1434"/>
      <c r="O126" s="1434"/>
      <c r="P126" s="1434"/>
      <c r="Q126" s="1434"/>
      <c r="R126" s="1435"/>
      <c r="S126" s="1432"/>
      <c r="T126" s="1438"/>
      <c r="U126" s="1439"/>
      <c r="V126" s="1434"/>
      <c r="W126" s="1434"/>
      <c r="X126" s="1434"/>
      <c r="Y126" s="1434"/>
      <c r="Z126" s="1434"/>
      <c r="AA126" s="1435"/>
      <c r="AB126" s="490"/>
      <c r="AC126" s="637"/>
    </row>
    <row r="127" spans="1:35" ht="19.5" hidden="1" customHeight="1" outlineLevel="1" x14ac:dyDescent="0.25">
      <c r="A127" s="596"/>
      <c r="C127" s="490"/>
      <c r="D127" s="130"/>
      <c r="E127" s="130"/>
      <c r="F127" s="130"/>
      <c r="G127" s="130"/>
      <c r="H127" s="130"/>
      <c r="I127" s="130"/>
      <c r="J127" s="130"/>
      <c r="K127" s="1437" t="str">
        <f>IF(Spells!B158="","","["&amp;Spells!B158&amp;"] "&amp;Spells!B159&amp;" ["&amp;Spells!B161&amp;"]")</f>
        <v/>
      </c>
      <c r="L127" s="1439"/>
      <c r="M127" s="1434"/>
      <c r="N127" s="1434"/>
      <c r="O127" s="1434"/>
      <c r="P127" s="1434"/>
      <c r="Q127" s="1434"/>
      <c r="R127" s="1435"/>
      <c r="S127" s="1432"/>
      <c r="T127" s="1438"/>
      <c r="U127" s="1439"/>
      <c r="V127" s="1434"/>
      <c r="W127" s="1434"/>
      <c r="X127" s="1434"/>
      <c r="Y127" s="1434"/>
      <c r="Z127" s="1434"/>
      <c r="AA127" s="1435"/>
      <c r="AB127" s="490"/>
      <c r="AC127" s="637"/>
    </row>
    <row r="128" spans="1:35" ht="19.5" customHeight="1" collapsed="1" x14ac:dyDescent="0.25">
      <c r="A128" s="596"/>
      <c r="B128" s="495" t="s">
        <v>164</v>
      </c>
      <c r="C128" s="457"/>
      <c r="D128" s="495" t="s">
        <v>560</v>
      </c>
      <c r="E128" s="130"/>
      <c r="F128" s="130"/>
      <c r="G128" s="130"/>
      <c r="H128" s="130"/>
      <c r="I128" s="130"/>
      <c r="J128" s="130"/>
      <c r="K128" s="1440" t="str">
        <f>IF(Spells!B160="","",Spells!B160)</f>
        <v/>
      </c>
      <c r="L128" s="1439"/>
      <c r="M128" s="1434"/>
      <c r="N128" s="1434"/>
      <c r="O128" s="1434"/>
      <c r="P128" s="1434"/>
      <c r="Q128" s="1434"/>
      <c r="R128" s="1435"/>
      <c r="S128" s="1432"/>
      <c r="T128" s="1438"/>
      <c r="U128" s="1439"/>
      <c r="V128" s="1434"/>
      <c r="W128" s="1434"/>
      <c r="X128" s="1434"/>
      <c r="Y128" s="1434"/>
      <c r="Z128" s="1434"/>
      <c r="AA128" s="1435"/>
      <c r="AB128" s="490"/>
      <c r="AC128" s="637"/>
    </row>
    <row r="129" spans="1:29" ht="19.5" customHeight="1" x14ac:dyDescent="0.3">
      <c r="A129" s="596"/>
      <c r="B129" s="770">
        <f>IF(Spells!B45="","",Spells!B45)</f>
        <v>1</v>
      </c>
      <c r="C129" s="130"/>
      <c r="D129" s="497"/>
      <c r="E129" s="130"/>
      <c r="F129" s="130"/>
      <c r="G129" s="130"/>
      <c r="H129" s="130"/>
      <c r="I129" s="130"/>
      <c r="J129" s="130"/>
      <c r="K129" s="1437" t="str">
        <f>IF(Spells!B162="","","["&amp;Spells!B162&amp;"] "&amp;Spells!B163&amp;" ["&amp;Spells!B165&amp;"]")</f>
        <v/>
      </c>
      <c r="L129" s="1439"/>
      <c r="M129" s="1434"/>
      <c r="N129" s="1434"/>
      <c r="O129" s="1434"/>
      <c r="P129" s="1434"/>
      <c r="Q129" s="1434"/>
      <c r="R129" s="1435"/>
      <c r="S129" s="1432"/>
      <c r="T129" s="1438"/>
      <c r="U129" s="1439"/>
      <c r="V129" s="1434"/>
      <c r="W129" s="1434"/>
      <c r="X129" s="1434"/>
      <c r="Y129" s="1434"/>
      <c r="Z129" s="1434"/>
      <c r="AA129" s="1435"/>
      <c r="AB129" s="490"/>
      <c r="AC129" s="637"/>
    </row>
    <row r="130" spans="1:29" ht="19.5" customHeight="1" x14ac:dyDescent="0.25">
      <c r="A130" s="596"/>
      <c r="B130" s="676" t="s">
        <v>559</v>
      </c>
      <c r="C130" s="457"/>
      <c r="D130" s="496"/>
      <c r="E130" s="457"/>
      <c r="F130" s="456"/>
      <c r="G130" s="496"/>
      <c r="H130" s="495"/>
      <c r="I130" s="456"/>
      <c r="J130" s="130"/>
      <c r="K130" s="1440" t="str">
        <f>IF(Spells!B164="","",Spells!B164)</f>
        <v/>
      </c>
      <c r="L130" s="1439"/>
      <c r="M130" s="1434"/>
      <c r="N130" s="1434"/>
      <c r="O130" s="1434"/>
      <c r="P130" s="1434"/>
      <c r="Q130" s="1434"/>
      <c r="R130" s="1435"/>
      <c r="S130" s="1432"/>
      <c r="T130" s="1438"/>
      <c r="U130" s="1439"/>
      <c r="V130" s="1434"/>
      <c r="W130" s="1434"/>
      <c r="X130" s="1434"/>
      <c r="Y130" s="1434"/>
      <c r="Z130" s="1434"/>
      <c r="AA130" s="1435"/>
      <c r="AB130" s="490"/>
      <c r="AC130" s="637"/>
    </row>
    <row r="131" spans="1:29" ht="19.5" customHeight="1" x14ac:dyDescent="0.25">
      <c r="A131" s="596"/>
      <c r="B131" s="1467" t="str">
        <f>IF(Spells!B46="","","["&amp;Spells!B46&amp;"] "&amp;Spells!B47&amp;" ["&amp;Spells!B49&amp;"]")</f>
        <v>[Focus 1] Order = Heal Animal [1 (S) / 2 (SV)]</v>
      </c>
      <c r="C131" s="1468"/>
      <c r="D131" s="1469"/>
      <c r="E131" s="1470"/>
      <c r="F131" s="1470"/>
      <c r="G131" s="1470"/>
      <c r="H131" s="1470"/>
      <c r="I131" s="1471"/>
      <c r="J131" s="130"/>
      <c r="K131" s="1437" t="str">
        <f>IF(Spells!B166="","","["&amp;Spells!B166&amp;"] "&amp;Spells!B167&amp;" ["&amp;Spells!B169&amp;"]")</f>
        <v/>
      </c>
      <c r="L131" s="1439"/>
      <c r="M131" s="1434"/>
      <c r="N131" s="1434"/>
      <c r="O131" s="1434"/>
      <c r="P131" s="1434"/>
      <c r="Q131" s="1434"/>
      <c r="R131" s="1435"/>
      <c r="S131" s="1432"/>
      <c r="T131" s="1438"/>
      <c r="U131" s="1439"/>
      <c r="V131" s="1434"/>
      <c r="W131" s="1434"/>
      <c r="X131" s="1434"/>
      <c r="Y131" s="1434"/>
      <c r="Z131" s="1434"/>
      <c r="AA131" s="1435"/>
      <c r="AB131" s="490"/>
      <c r="AC131" s="637"/>
    </row>
    <row r="132" spans="1:29" ht="19.5" customHeight="1" x14ac:dyDescent="0.25">
      <c r="A132" s="596"/>
      <c r="B132" s="1472" t="str">
        <f>IF(Spells!B48="","",Spells!B48)</f>
        <v>1 living animal, Touch 3d8 / 30' 3d8+24</v>
      </c>
      <c r="C132" s="1473"/>
      <c r="D132" s="1474"/>
      <c r="E132" s="1474"/>
      <c r="F132" s="1474"/>
      <c r="G132" s="1474"/>
      <c r="H132" s="1473"/>
      <c r="I132" s="1475"/>
      <c r="J132" s="130"/>
      <c r="K132" s="1440" t="str">
        <f>IF(Spells!B168="","",Spells!B168)</f>
        <v/>
      </c>
      <c r="L132" s="1439"/>
      <c r="M132" s="1434"/>
      <c r="N132" s="1434"/>
      <c r="O132" s="1434"/>
      <c r="P132" s="1434"/>
      <c r="Q132" s="1434"/>
      <c r="R132" s="1435"/>
      <c r="S132" s="1432"/>
      <c r="T132" s="1438"/>
      <c r="U132" s="1439"/>
      <c r="V132" s="1434"/>
      <c r="W132" s="1434"/>
      <c r="X132" s="1434"/>
      <c r="Y132" s="1434"/>
      <c r="Z132" s="1434"/>
      <c r="AA132" s="1435"/>
      <c r="AB132" s="490"/>
      <c r="AC132" s="637"/>
    </row>
    <row r="133" spans="1:29" ht="19.5" customHeight="1" x14ac:dyDescent="0.25">
      <c r="A133" s="596"/>
      <c r="B133" s="1476" t="str">
        <f>IF(Spells!B50="","","["&amp;Spells!B50&amp;"] "&amp;Spells!B51&amp;" ["&amp;Spells!B53&amp;"]")</f>
        <v/>
      </c>
      <c r="C133" s="1477"/>
      <c r="D133" s="1474"/>
      <c r="E133" s="1474"/>
      <c r="F133" s="1474"/>
      <c r="G133" s="1474"/>
      <c r="H133" s="1474"/>
      <c r="I133" s="1475"/>
      <c r="J133" s="130"/>
      <c r="K133" s="1437" t="str">
        <f>IF(Spells!B170="","","["&amp;Spells!B170&amp;"] "&amp;Spells!B171&amp;" ["&amp;Spells!B173&amp;"]")</f>
        <v/>
      </c>
      <c r="L133" s="1439"/>
      <c r="M133" s="1434"/>
      <c r="N133" s="1434"/>
      <c r="O133" s="1434"/>
      <c r="P133" s="1434"/>
      <c r="Q133" s="1434"/>
      <c r="R133" s="1435"/>
      <c r="S133" s="1432"/>
      <c r="T133" s="1438"/>
      <c r="U133" s="1439"/>
      <c r="V133" s="1434"/>
      <c r="W133" s="1434"/>
      <c r="X133" s="1434"/>
      <c r="Y133" s="1434"/>
      <c r="Z133" s="1434"/>
      <c r="AA133" s="1435"/>
      <c r="AB133" s="490"/>
      <c r="AC133" s="637"/>
    </row>
    <row r="134" spans="1:29" ht="19.5" customHeight="1" x14ac:dyDescent="0.25">
      <c r="A134" s="596"/>
      <c r="B134" s="1478" t="str">
        <f>IF(Spells!B52="","",Spells!B52)</f>
        <v/>
      </c>
      <c r="C134" s="1479"/>
      <c r="D134" s="1480"/>
      <c r="E134" s="1480"/>
      <c r="F134" s="1480"/>
      <c r="G134" s="1480"/>
      <c r="H134" s="1479"/>
      <c r="I134" s="1481"/>
      <c r="J134" s="130"/>
      <c r="K134" s="1441" t="str">
        <f>IF(Spells!B172="","",Spells!B172)</f>
        <v/>
      </c>
      <c r="L134" s="1442"/>
      <c r="M134" s="1443"/>
      <c r="N134" s="1443"/>
      <c r="O134" s="1443"/>
      <c r="P134" s="1443"/>
      <c r="Q134" s="1443"/>
      <c r="R134" s="1444"/>
      <c r="S134" s="1432"/>
      <c r="T134" s="1445"/>
      <c r="U134" s="1442"/>
      <c r="V134" s="1443"/>
      <c r="W134" s="1443"/>
      <c r="X134" s="1443"/>
      <c r="Y134" s="1443"/>
      <c r="Z134" s="1443"/>
      <c r="AA134" s="1444"/>
      <c r="AB134" s="490"/>
      <c r="AC134" s="637"/>
    </row>
    <row r="135" spans="1:29" s="627" customFormat="1" ht="19.5" customHeight="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customHeight="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IF(Création!B12="","",Création!B12)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Création!B5</f>
        <v>M</v>
      </c>
      <c r="I139" s="1492"/>
      <c r="J139" s="454"/>
      <c r="K139" s="1497" t="str">
        <f>IF(Création!B13="","",Création!B13)</f>
        <v>Goblin</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IF(Création!B14="","",Création!B14)</f>
        <v>Druidic</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IF(Création!B15="","",Création!B15)</f>
        <v>INT 12 = Halfling</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IF(Création!B16="","",Création!B16)</f>
        <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IF(Création!B17="","",Création!B17)</f>
        <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9.5" customHeight="1"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92.25" customHeight="1" x14ac:dyDescent="0.25">
      <c r="A145" s="656"/>
      <c r="B145" s="1547" t="str">
        <f>'Equipment Combat'!B533</f>
        <v>The following acts are anathema to all druids:
&gt; Using metal armor or shields.
&gt; Despoiling natural places.
&gt; Teaching the Druidic language to non-druids.
Committing wanton cruelty to animals or killing animals unnecessarily is anathema to your order.
Allowing unnatural fires to spread or preventing natural fires from occurring in a way that harms the environment are anathema to your order</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9.5" customHeight="1"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11.75" customHeight="1" x14ac:dyDescent="0.25">
      <c r="A147" s="656"/>
      <c r="B147" s="1537" t="str">
        <f>Création!B37</f>
        <v>Tip est un goblin promis à un grand avenir. Les autres goblins l'ont toujours su. Suffi de regarder ses dents elles sont super grandes. Un jour alors qu'il gambadé dans la forêt Tip à rencontrer Top une créature promise à un grand avenir aussi. La preuve il a des dents encore plus grandes que celle de Tip. Après un concours acharné de gobage de raton-laveur, une amitié durable s'installa entre les deux. En revenant au village goblin avec Top, Tip obtenu le respect du druide du village qui le pris comme apprenti.
Seulement voila, Tip a depuis longtemps des visions d'un grand feu. Tip est convaincu qu'il s'agit là d'une prophétie au sujet de leur grand avenir. Il a donc étudié la question de long en large et aujourd'hui c'est l'heure de sauvé les animaux en danger a cause du grand feu. Car un animal qui meurt sans raison c'est super mal. Cela rompt l'équilibre de la nature et après les goblins et les Tops, ils n'ont plus rien à manger.
Et puis surtout grand feu c'est encore mieux que grandes dents....</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9.5" customHeight="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9.5" customHeight="1" x14ac:dyDescent="0.25">
      <c r="A149" s="656"/>
      <c r="B149" s="1410" t="str">
        <f>IF(Minions!B87="","",Minions!B87)</f>
        <v>Top : Animal Companion, Dromaeosaur, Animal, Minion of  Tip</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9.5" customHeight="1" x14ac:dyDescent="0.25">
      <c r="A150" s="656"/>
      <c r="B150" s="1414" t="str">
        <f>IF(Minions!B88="","",Minions!B88)</f>
        <v>Medium, Level 5, Align. N, Low-light vision, Scent (imprecise, 30 feet), Speed 50'</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9.5" customHeight="1" x14ac:dyDescent="0.25">
      <c r="A151" s="656"/>
      <c r="B151" s="1414" t="str">
        <f>IF(Minions!B89="","",Minions!B89)</f>
        <v>HP 51, AC 21, STR +3, DEX +4, CON +3, INT -4, WIS +2, CHA +0, PER 11, FOR 12, REF 13, WIL 11</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9.5" customHeight="1" x14ac:dyDescent="0.25">
      <c r="A152" s="656"/>
      <c r="B152" s="1414" t="str">
        <f>IF(Minions!B90="","",Minions!B90)</f>
        <v>Attack rolls 11, Acrobatics 11, Athletics 10, Intimidation 10, Stealth 13, Survival 10</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9.5" customHeight="1" x14ac:dyDescent="0.25">
      <c r="A153" s="656"/>
      <c r="B153" s="1418" t="str">
        <f>IF(Minions!B91="","",Minions!B91)</f>
        <v>Jaws : 11/6/1 (2d8+3 piercing), Talon : 11/7/3 (2d6+3 slashing)</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9.5" customHeight="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35"/>
      <c r="B155" s="435"/>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row>
    <row r="156" spans="1:29" ht="19.5" customHeight="1" x14ac:dyDescent="0.25">
      <c r="A156" s="435"/>
      <c r="B156" s="435"/>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row>
    <row r="157" spans="1:29" ht="19.5" customHeight="1" x14ac:dyDescent="0.25">
      <c r="A157" s="435"/>
      <c r="B157" s="435"/>
      <c r="C157" s="435"/>
      <c r="D157" s="435"/>
      <c r="E157" s="435"/>
      <c r="F157" s="435"/>
      <c r="G157" s="435"/>
      <c r="H157" s="435"/>
      <c r="I157" s="435"/>
      <c r="J157" s="435"/>
      <c r="K157" s="435"/>
      <c r="L157" s="435"/>
      <c r="M157" s="435"/>
      <c r="N157" s="435"/>
      <c r="O157" s="435"/>
      <c r="P157" s="435"/>
      <c r="Q157" s="435"/>
      <c r="R157" s="435"/>
      <c r="S157" s="435"/>
      <c r="T157" s="435"/>
      <c r="U157" s="435"/>
      <c r="V157" s="435"/>
      <c r="W157" s="435"/>
      <c r="X157" s="435"/>
    </row>
    <row r="158" spans="1:29" ht="19.5" customHeight="1" x14ac:dyDescent="0.25">
      <c r="A158" s="435"/>
      <c r="B158" s="435"/>
      <c r="C158" s="435"/>
      <c r="D158" s="435"/>
      <c r="E158" s="435"/>
      <c r="F158" s="435"/>
      <c r="G158" s="435"/>
      <c r="H158" s="435"/>
      <c r="I158" s="435"/>
      <c r="J158" s="435"/>
      <c r="K158" s="435"/>
      <c r="L158" s="435"/>
      <c r="M158" s="435"/>
      <c r="N158" s="435"/>
      <c r="O158" s="435"/>
      <c r="P158" s="435"/>
      <c r="Q158" s="435"/>
      <c r="R158" s="435"/>
      <c r="S158" s="435"/>
      <c r="T158" s="435"/>
      <c r="U158" s="435"/>
      <c r="V158" s="435"/>
      <c r="W158" s="435"/>
      <c r="X158" s="435"/>
    </row>
    <row r="159" spans="1:29" ht="19.5" customHeight="1" x14ac:dyDescent="0.25">
      <c r="A159" s="435"/>
      <c r="B159" s="435"/>
      <c r="C159" s="435"/>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row>
    <row r="160" spans="1:29" ht="19.5" customHeight="1" x14ac:dyDescent="0.25">
      <c r="A160" s="435"/>
      <c r="B160" s="435"/>
      <c r="C160" s="435"/>
      <c r="D160" s="435"/>
      <c r="E160" s="435"/>
      <c r="F160" s="435"/>
      <c r="G160" s="435"/>
      <c r="H160" s="435"/>
      <c r="I160" s="435"/>
      <c r="J160" s="435"/>
      <c r="K160" s="435"/>
      <c r="L160" s="435"/>
      <c r="M160" s="435"/>
      <c r="N160" s="435"/>
      <c r="O160" s="435"/>
      <c r="P160" s="435"/>
      <c r="Q160" s="435"/>
      <c r="R160" s="435"/>
      <c r="S160" s="435"/>
      <c r="T160" s="435"/>
      <c r="U160" s="435"/>
      <c r="V160" s="435"/>
      <c r="W160" s="435"/>
      <c r="X160" s="435"/>
      <c r="Y160" s="435"/>
    </row>
  </sheetData>
  <mergeCells count="23">
    <mergeCell ref="S9:U9"/>
    <mergeCell ref="E18:F18"/>
    <mergeCell ref="O18:P18"/>
    <mergeCell ref="O19:P19"/>
    <mergeCell ref="O20:P20"/>
    <mergeCell ref="O21:P21"/>
    <mergeCell ref="E19:F19"/>
    <mergeCell ref="E20:F20"/>
    <mergeCell ref="E21:F21"/>
    <mergeCell ref="K7:L7"/>
    <mergeCell ref="J9:K9"/>
    <mergeCell ref="I7:J7"/>
    <mergeCell ref="M7:N7"/>
    <mergeCell ref="O17:Q17"/>
    <mergeCell ref="E22:F22"/>
    <mergeCell ref="E23:F23"/>
    <mergeCell ref="G24:H24"/>
    <mergeCell ref="B147:AB147"/>
    <mergeCell ref="O22:P22"/>
    <mergeCell ref="O23:P23"/>
    <mergeCell ref="R62:W62"/>
    <mergeCell ref="X62:AB62"/>
    <mergeCell ref="B145:AB145"/>
  </mergeCells>
  <conditionalFormatting sqref="R62:W62">
    <cfRule type="containsText" dxfId="39" priority="3" operator="containsText" text="Cannot">
      <formula>NOT(ISERROR(SEARCH("Cannot",R62)))</formula>
    </cfRule>
    <cfRule type="containsText" dxfId="38" priority="4" operator="containsText" text="Encumbered">
      <formula>NOT(ISERROR(SEARCH("Encumbered",R62)))</formula>
    </cfRule>
    <cfRule type="containsText" dxfId="37" priority="5" operator="containsText" text="Fine">
      <formula>NOT(ISERROR(SEARCH("Fine",R62)))</formula>
    </cfRule>
  </conditionalFormatting>
  <conditionalFormatting sqref="X62">
    <cfRule type="containsText" dxfId="36" priority="1" operator="containsText" text="Overloaded">
      <formula>NOT(ISERROR(SEARCH("Overloaded",X62)))</formula>
    </cfRule>
    <cfRule type="containsText" dxfId="35" priority="2" operator="containsText" text="OK">
      <formula>NOT(ISERROR(SEARCH("OK",X62)))</formula>
    </cfRule>
  </conditionalFormatting>
  <hyperlinks>
    <hyperlink ref="D1" r:id="rId1" location="id=2533415" xr:uid="{3B487155-5442-4BF0-B85F-1665CF42F70E}"/>
  </hyperlinks>
  <pageMargins left="0.25" right="0.25" top="0.75" bottom="0.75" header="0.3" footer="0.3"/>
  <pageSetup paperSize="9" scale="69" orientation="portrait" horizontalDpi="360" verticalDpi="36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65D61-7371-4485-B23C-A2DFDEF3651A}">
  <sheetPr>
    <pageSetUpPr fitToPage="1"/>
  </sheetPr>
  <dimension ref="A1:AC160"/>
  <sheetViews>
    <sheetView showGridLines="0" workbookViewId="0">
      <pane ySplit="2" topLeftCell="A56" activePane="bottomLeft" state="frozen"/>
      <selection activeCell="T8" sqref="T8"/>
      <selection pane="bottomLeft" activeCell="S58" sqref="S58"/>
    </sheetView>
  </sheetViews>
  <sheetFormatPr baseColWidth="10" defaultColWidth="5.7109375" defaultRowHeight="19.5" customHeight="1" outlineLevelRow="1" x14ac:dyDescent="0.25"/>
  <cols>
    <col min="1" max="22" width="5.7109375" style="459"/>
    <col min="23" max="23" width="7.5703125" style="459" bestFit="1" customWidth="1"/>
    <col min="24" max="16384" width="5.7109375" style="459"/>
  </cols>
  <sheetData>
    <row r="1" spans="1:29" ht="19.5" customHeight="1" x14ac:dyDescent="0.25">
      <c r="A1" s="629"/>
      <c r="B1" s="630" t="s">
        <v>487</v>
      </c>
      <c r="C1" s="631"/>
      <c r="D1" s="653" t="s">
        <v>1025</v>
      </c>
      <c r="E1" s="631"/>
      <c r="F1" s="631"/>
      <c r="G1" s="630" t="s">
        <v>488</v>
      </c>
      <c r="H1" s="631"/>
      <c r="I1" s="631" t="str">
        <f>Création!C1</f>
        <v>Laurence</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Création!C3</f>
        <v>Wizard</v>
      </c>
      <c r="E2" s="498"/>
      <c r="F2" s="498"/>
      <c r="G2" s="494" t="s">
        <v>26</v>
      </c>
      <c r="H2" s="498"/>
      <c r="I2" s="498" t="str">
        <f>Création!C6</f>
        <v>Woodland Elf</v>
      </c>
      <c r="J2" s="498"/>
      <c r="K2" s="498"/>
      <c r="L2" s="498"/>
      <c r="M2" s="490"/>
      <c r="N2" s="498"/>
      <c r="O2" s="498"/>
      <c r="P2" s="494" t="s">
        <v>42</v>
      </c>
      <c r="Q2" s="498"/>
      <c r="R2" s="498" t="str">
        <f>Création!C7</f>
        <v>Truth Seeker</v>
      </c>
      <c r="S2" s="498"/>
      <c r="T2" s="498"/>
      <c r="U2" s="498"/>
      <c r="V2" s="498"/>
      <c r="W2" s="498"/>
      <c r="X2" s="498"/>
      <c r="Y2" s="498"/>
      <c r="Z2" s="498"/>
      <c r="AA2" s="498"/>
      <c r="AB2" s="437"/>
      <c r="AC2" s="637"/>
    </row>
    <row r="3" spans="1:29" ht="19.5" customHeight="1" x14ac:dyDescent="0.3">
      <c r="A3" s="638"/>
      <c r="B3" s="438" t="s">
        <v>490</v>
      </c>
      <c r="C3" s="439"/>
      <c r="D3" s="440">
        <f>'Dés de vie'!C13</f>
        <v>5</v>
      </c>
      <c r="E3" s="439"/>
      <c r="F3" s="439"/>
      <c r="G3" s="438" t="s">
        <v>205</v>
      </c>
      <c r="H3" s="439"/>
      <c r="I3" s="439" t="str">
        <f>Création!C28</f>
        <v>Medium</v>
      </c>
      <c r="J3" s="439"/>
      <c r="K3" s="438" t="s">
        <v>491</v>
      </c>
      <c r="L3" s="439"/>
      <c r="M3" s="439" t="str">
        <f>Création!C9</f>
        <v>Nethys</v>
      </c>
      <c r="N3" s="439"/>
      <c r="O3" s="439"/>
      <c r="P3" s="438" t="s">
        <v>159</v>
      </c>
      <c r="Q3" s="439"/>
      <c r="R3" s="439" t="str">
        <f>Création!C8</f>
        <v>NG</v>
      </c>
      <c r="S3" s="439"/>
      <c r="T3" s="439"/>
      <c r="U3" s="439"/>
      <c r="V3" s="441"/>
      <c r="W3" s="441"/>
      <c r="X3" s="441"/>
      <c r="Y3" s="439"/>
      <c r="Z3" s="439"/>
      <c r="AA3" s="439"/>
      <c r="AB3" s="442"/>
      <c r="AC3" s="637"/>
    </row>
    <row r="4" spans="1:29" s="450" customFormat="1" ht="19.5" customHeight="1" x14ac:dyDescent="0.3">
      <c r="A4" s="639"/>
      <c r="B4" s="640" t="s">
        <v>492</v>
      </c>
      <c r="C4" s="640"/>
      <c r="D4" s="640"/>
      <c r="E4" s="640"/>
      <c r="F4" s="640"/>
      <c r="G4" s="640"/>
      <c r="H4" s="640"/>
      <c r="I4" s="1317" t="s">
        <v>493</v>
      </c>
      <c r="J4" s="1317"/>
      <c r="K4" s="640"/>
      <c r="L4" s="640"/>
      <c r="M4" s="641"/>
      <c r="N4" s="641"/>
      <c r="O4" s="641"/>
      <c r="P4" s="640"/>
      <c r="Q4" s="640"/>
      <c r="R4" s="640"/>
      <c r="S4" s="640"/>
      <c r="T4" s="640"/>
      <c r="U4" s="640"/>
      <c r="V4" s="641"/>
      <c r="W4" s="640" t="s">
        <v>494</v>
      </c>
      <c r="X4" s="640"/>
      <c r="Y4" s="640"/>
      <c r="Z4" s="640"/>
      <c r="AA4" s="640"/>
      <c r="AB4" s="640"/>
      <c r="AC4" s="642"/>
    </row>
    <row r="5" spans="1:29" ht="19.5" customHeight="1" x14ac:dyDescent="0.25">
      <c r="A5" s="636"/>
      <c r="B5" s="489" t="s">
        <v>79</v>
      </c>
      <c r="C5" s="489" t="s">
        <v>495</v>
      </c>
      <c r="D5" s="489" t="s">
        <v>496</v>
      </c>
      <c r="E5" s="489" t="s">
        <v>79</v>
      </c>
      <c r="F5" s="489" t="s">
        <v>495</v>
      </c>
      <c r="G5" s="489" t="s">
        <v>496</v>
      </c>
      <c r="H5" s="490"/>
      <c r="I5" s="782">
        <f>'Dés de vie'!C16</f>
        <v>41</v>
      </c>
      <c r="J5" s="1401"/>
      <c r="K5" s="498"/>
      <c r="L5" s="498"/>
      <c r="M5" s="494"/>
      <c r="N5" s="490"/>
      <c r="O5" s="4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Stats!C2</f>
        <v>10</v>
      </c>
      <c r="D6" s="1385">
        <f>Stats!C11</f>
        <v>0</v>
      </c>
      <c r="E6" s="1386" t="s">
        <v>11</v>
      </c>
      <c r="F6" s="1385">
        <f>Stats!C3</f>
        <v>14</v>
      </c>
      <c r="G6" s="1387">
        <f>Stats!C12</f>
        <v>2</v>
      </c>
      <c r="H6" s="490"/>
      <c r="I6" s="640" t="s">
        <v>497</v>
      </c>
      <c r="J6" s="490"/>
      <c r="K6" s="490"/>
      <c r="L6" s="489"/>
      <c r="M6" s="490" t="s">
        <v>644</v>
      </c>
      <c r="N6" s="489"/>
      <c r="O6" s="490"/>
      <c r="P6" s="490"/>
      <c r="Q6" s="489" t="s">
        <v>324</v>
      </c>
      <c r="R6" s="490"/>
      <c r="S6" s="490"/>
      <c r="T6" s="489" t="s">
        <v>342</v>
      </c>
      <c r="U6" s="490"/>
      <c r="V6" s="489" t="s">
        <v>297</v>
      </c>
      <c r="W6" s="1395" t="str">
        <f>Skills!A137</f>
        <v>Simple weapons</v>
      </c>
      <c r="X6" s="1396"/>
      <c r="Y6" s="1396"/>
      <c r="Z6" s="1396"/>
      <c r="AA6" s="731" t="str">
        <f>Skills!C137</f>
        <v>Untrained</v>
      </c>
      <c r="AB6" s="1397"/>
      <c r="AC6" s="637"/>
    </row>
    <row r="7" spans="1:29" ht="19.5" customHeight="1" x14ac:dyDescent="0.25">
      <c r="A7" s="643"/>
      <c r="B7" s="1388" t="s">
        <v>8</v>
      </c>
      <c r="C7" s="1389">
        <f>Stats!C4</f>
        <v>12</v>
      </c>
      <c r="D7" s="1389">
        <f>Stats!C13</f>
        <v>1</v>
      </c>
      <c r="E7" s="1368" t="s">
        <v>12</v>
      </c>
      <c r="F7" s="1389">
        <f>Stats!C5</f>
        <v>19</v>
      </c>
      <c r="G7" s="1390">
        <f>Stats!C14</f>
        <v>4</v>
      </c>
      <c r="H7" s="490"/>
      <c r="I7" s="1552" t="str">
        <f>'Equipment Combat'!C343</f>
        <v>20</v>
      </c>
      <c r="J7" s="1553"/>
      <c r="K7" s="1550" t="s">
        <v>498</v>
      </c>
      <c r="L7" s="1550"/>
      <c r="M7" s="1554" t="str">
        <f>IF('Equipment Combat'!C342="",'Equipment Combat'!C341,CONCATENATE("MIN(",'Equipment Combat'!C341,"/",'Equipment Combat'!C342,")"))</f>
        <v>MIN(2/5)</v>
      </c>
      <c r="N7" s="1554"/>
      <c r="O7" s="1320" t="s">
        <v>499</v>
      </c>
      <c r="P7" s="1320">
        <f>'Equipment Combat'!C340</f>
        <v>7</v>
      </c>
      <c r="Q7" s="774" t="str">
        <f>'Equipment Combat'!C338</f>
        <v>Trained</v>
      </c>
      <c r="R7" s="1320"/>
      <c r="S7" s="1320" t="s">
        <v>499</v>
      </c>
      <c r="T7" s="1320">
        <f>'Equipment Combat'!C335+'Equipment Combat'!C336</f>
        <v>1</v>
      </c>
      <c r="U7" s="775" t="s">
        <v>499</v>
      </c>
      <c r="V7" s="776">
        <f>'Equipment Combat'!C339</f>
        <v>0</v>
      </c>
      <c r="W7" s="1398" t="str">
        <f>Skills!A139</f>
        <v>Martial weapons</v>
      </c>
      <c r="X7" s="737"/>
      <c r="Y7" s="1399"/>
      <c r="Z7" s="1399"/>
      <c r="AA7" s="737" t="str">
        <f>Skills!C139</f>
        <v>Untrained</v>
      </c>
      <c r="AB7" s="1343"/>
      <c r="AC7" s="637"/>
    </row>
    <row r="8" spans="1:29" ht="19.5" customHeight="1" x14ac:dyDescent="0.3">
      <c r="A8" s="643"/>
      <c r="B8" s="1391" t="s">
        <v>13</v>
      </c>
      <c r="C8" s="1392">
        <f>Stats!C6</f>
        <v>16</v>
      </c>
      <c r="D8" s="1392">
        <f>Stats!C15</f>
        <v>3</v>
      </c>
      <c r="E8" s="1393" t="s">
        <v>14</v>
      </c>
      <c r="F8" s="1392">
        <f>Stats!C7</f>
        <v>14</v>
      </c>
      <c r="G8" s="1394">
        <f>Stats!C16</f>
        <v>2</v>
      </c>
      <c r="H8" s="490"/>
      <c r="I8" s="640" t="s">
        <v>84</v>
      </c>
      <c r="J8" s="490"/>
      <c r="K8" s="490"/>
      <c r="L8" s="490"/>
      <c r="M8" s="489" t="s">
        <v>324</v>
      </c>
      <c r="N8" s="490"/>
      <c r="O8" s="490"/>
      <c r="P8" s="490"/>
      <c r="Q8" s="489" t="s">
        <v>79</v>
      </c>
      <c r="R8" s="490"/>
      <c r="S8" s="1207" t="s">
        <v>979</v>
      </c>
      <c r="T8" s="1189"/>
      <c r="U8" s="490"/>
      <c r="V8" s="490"/>
      <c r="W8" s="1398" t="str">
        <f>Skills!A141</f>
        <v>Advanced weapons</v>
      </c>
      <c r="X8" s="737"/>
      <c r="Y8" s="1399"/>
      <c r="Z8" s="1399"/>
      <c r="AA8" s="737" t="str">
        <f>Skills!C141</f>
        <v>Untrained</v>
      </c>
      <c r="AB8" s="1343"/>
      <c r="AC8" s="637"/>
    </row>
    <row r="9" spans="1:29" ht="19.5" customHeight="1" x14ac:dyDescent="0.25">
      <c r="A9" s="643"/>
      <c r="B9" s="490"/>
      <c r="C9" s="490"/>
      <c r="D9" s="490"/>
      <c r="E9" s="490"/>
      <c r="F9" s="490"/>
      <c r="G9" s="490"/>
      <c r="H9" s="490"/>
      <c r="I9" s="781">
        <f>Skills!C37</f>
        <v>14</v>
      </c>
      <c r="J9" s="1551" t="s">
        <v>498</v>
      </c>
      <c r="K9" s="1551"/>
      <c r="L9" s="777">
        <f>Skills!C206</f>
        <v>0</v>
      </c>
      <c r="M9" s="778" t="str">
        <f>Skills!C163</f>
        <v>Untrained</v>
      </c>
      <c r="N9" s="779"/>
      <c r="O9" s="777" t="s">
        <v>499</v>
      </c>
      <c r="P9" s="777">
        <f>Skills!C70</f>
        <v>4</v>
      </c>
      <c r="Q9" s="780" t="str">
        <f>Skills!C71</f>
        <v>INT</v>
      </c>
      <c r="R9" s="490"/>
      <c r="S9" s="1562">
        <f>'Status courant'!C6</f>
        <v>2</v>
      </c>
      <c r="T9" s="1563"/>
      <c r="U9" s="1564"/>
      <c r="V9" s="490"/>
      <c r="W9" s="1398" t="str">
        <f>Skills!A143</f>
        <v>Alchemical bombs</v>
      </c>
      <c r="X9" s="737"/>
      <c r="Y9" s="1399"/>
      <c r="Z9" s="1399"/>
      <c r="AA9" s="737" t="str">
        <f>Skills!C143</f>
        <v>Untrained</v>
      </c>
      <c r="AB9" s="1343"/>
      <c r="AC9" s="637"/>
    </row>
    <row r="10" spans="1:29" ht="19.5" customHeight="1" x14ac:dyDescent="0.3">
      <c r="A10" s="643"/>
      <c r="B10" s="640" t="s">
        <v>500</v>
      </c>
      <c r="C10" s="640"/>
      <c r="D10" s="490"/>
      <c r="E10" s="490"/>
      <c r="F10" s="490"/>
      <c r="G10" s="490"/>
      <c r="H10" s="490"/>
      <c r="I10" s="490"/>
      <c r="J10" s="490"/>
      <c r="K10" s="489"/>
      <c r="L10" s="490"/>
      <c r="M10" s="490"/>
      <c r="N10" s="490"/>
      <c r="O10" s="490"/>
      <c r="P10" s="490"/>
      <c r="Q10" s="490"/>
      <c r="R10" s="490"/>
      <c r="S10" s="490"/>
      <c r="T10" s="490"/>
      <c r="U10" s="490"/>
      <c r="V10" s="490"/>
      <c r="W10" s="1398" t="str">
        <f>Skills!A145</f>
        <v>Unarmed attacks</v>
      </c>
      <c r="X10" s="737"/>
      <c r="Y10" s="1399"/>
      <c r="Z10" s="1399"/>
      <c r="AA10" s="737" t="str">
        <f>Skills!C145</f>
        <v>Trained</v>
      </c>
      <c r="AB10" s="1343"/>
      <c r="AC10" s="637"/>
    </row>
    <row r="11" spans="1:29" ht="19.5" customHeight="1" x14ac:dyDescent="0.25">
      <c r="A11" s="643"/>
      <c r="B11" s="490"/>
      <c r="C11" s="489" t="s">
        <v>7</v>
      </c>
      <c r="D11" s="489"/>
      <c r="E11" s="489" t="s">
        <v>79</v>
      </c>
      <c r="F11" s="489"/>
      <c r="G11" s="489"/>
      <c r="H11" s="489" t="s">
        <v>324</v>
      </c>
      <c r="I11" s="489"/>
      <c r="J11" s="489"/>
      <c r="K11" s="489" t="s">
        <v>342</v>
      </c>
      <c r="L11" s="490"/>
      <c r="M11" s="490"/>
      <c r="N11" s="490"/>
      <c r="O11" s="490"/>
      <c r="P11" s="490"/>
      <c r="Q11" s="498" t="s">
        <v>648</v>
      </c>
      <c r="R11" s="490"/>
      <c r="S11" s="490"/>
      <c r="T11" s="490"/>
      <c r="U11" s="490"/>
      <c r="V11" s="490"/>
      <c r="W11" s="1398" t="str">
        <f>IF(Skills!C$148="",Skills!A$147,Skills!C$148)</f>
        <v>Club, crossbow, dagger, heavy crossbow &amp; staff</v>
      </c>
      <c r="X11" s="737"/>
      <c r="Y11" s="1399"/>
      <c r="Z11" s="1399"/>
      <c r="AA11" s="737" t="str">
        <f>Skills!C147</f>
        <v>Trained</v>
      </c>
      <c r="AB11" s="1343"/>
      <c r="AC11" s="637"/>
    </row>
    <row r="12" spans="1:29" ht="19.5" customHeight="1" x14ac:dyDescent="0.3">
      <c r="A12" s="643"/>
      <c r="B12" s="1368" t="s">
        <v>501</v>
      </c>
      <c r="C12" s="1369">
        <f>Skills!C4</f>
        <v>10</v>
      </c>
      <c r="D12" s="1370" t="s">
        <v>502</v>
      </c>
      <c r="E12" s="1371">
        <f>Skills!C45</f>
        <v>1</v>
      </c>
      <c r="F12" s="1370" t="s">
        <v>499</v>
      </c>
      <c r="G12" s="1371">
        <f>Skills!C172</f>
        <v>9</v>
      </c>
      <c r="H12" s="1372" t="str">
        <f>Skills!C78</f>
        <v>Expert</v>
      </c>
      <c r="I12" s="1372"/>
      <c r="J12" s="1370" t="s">
        <v>499</v>
      </c>
      <c r="K12" s="1373"/>
      <c r="L12" s="490"/>
      <c r="M12" s="640" t="s">
        <v>206</v>
      </c>
      <c r="N12" s="490"/>
      <c r="O12" s="490"/>
      <c r="P12" s="490"/>
      <c r="Q12" s="1384" t="s">
        <v>504</v>
      </c>
      <c r="R12" s="1402"/>
      <c r="S12" s="1407">
        <f>C15</f>
        <v>10</v>
      </c>
      <c r="T12" s="490"/>
      <c r="U12" s="490"/>
      <c r="V12" s="490"/>
      <c r="W12" s="1398" t="str">
        <f>IF(Skills!C$150="","",Skills!C$151)</f>
        <v/>
      </c>
      <c r="X12" s="737"/>
      <c r="Y12" s="1399"/>
      <c r="Z12" s="1399"/>
      <c r="AA12" s="737" t="str">
        <f>IF(Skills!C$150="","",Skills!C$150)</f>
        <v/>
      </c>
      <c r="AB12" s="1343"/>
      <c r="AC12" s="637"/>
    </row>
    <row r="13" spans="1:29" ht="19.5" customHeight="1" x14ac:dyDescent="0.25">
      <c r="A13" s="643"/>
      <c r="B13" s="1368" t="s">
        <v>528</v>
      </c>
      <c r="C13" s="1374">
        <f>Skills!C5</f>
        <v>11</v>
      </c>
      <c r="D13" s="1375" t="s">
        <v>502</v>
      </c>
      <c r="E13" s="1376">
        <f>Skills!C46</f>
        <v>2</v>
      </c>
      <c r="F13" s="1375" t="s">
        <v>499</v>
      </c>
      <c r="G13" s="1376">
        <f>Skills!C173</f>
        <v>9</v>
      </c>
      <c r="H13" s="1377" t="str">
        <f>Skills!C80</f>
        <v>Expert</v>
      </c>
      <c r="I13" s="1377"/>
      <c r="J13" s="1375" t="s">
        <v>499</v>
      </c>
      <c r="K13" s="1378"/>
      <c r="L13" s="490"/>
      <c r="M13" s="721" t="str">
        <f>Skills!C309&amp;"'"</f>
        <v>30'</v>
      </c>
      <c r="N13" s="490"/>
      <c r="O13" s="490"/>
      <c r="P13" s="490"/>
      <c r="Q13" s="1403" t="s">
        <v>23</v>
      </c>
      <c r="R13" s="1404"/>
      <c r="S13" s="1408">
        <f>R29</f>
        <v>2</v>
      </c>
      <c r="T13" s="490"/>
      <c r="U13" s="490"/>
      <c r="V13" s="490"/>
      <c r="W13" s="1398" t="str">
        <f>Skills!A154</f>
        <v>Light armor</v>
      </c>
      <c r="X13" s="737"/>
      <c r="Y13" s="1399"/>
      <c r="Z13" s="1399"/>
      <c r="AA13" s="737" t="str">
        <f>Skills!C154</f>
        <v>Untrained</v>
      </c>
      <c r="AB13" s="1343"/>
      <c r="AC13" s="637"/>
    </row>
    <row r="14" spans="1:29" ht="19.5" customHeight="1" x14ac:dyDescent="0.3">
      <c r="A14" s="643"/>
      <c r="B14" s="1368" t="s">
        <v>503</v>
      </c>
      <c r="C14" s="1374">
        <f>Skills!C6</f>
        <v>12</v>
      </c>
      <c r="D14" s="1375" t="s">
        <v>502</v>
      </c>
      <c r="E14" s="1376">
        <f>Skills!C47</f>
        <v>3</v>
      </c>
      <c r="F14" s="1375" t="s">
        <v>499</v>
      </c>
      <c r="G14" s="1376">
        <f>Skills!C174</f>
        <v>9</v>
      </c>
      <c r="H14" s="1377" t="str">
        <f>Skills!C82</f>
        <v>Expert</v>
      </c>
      <c r="I14" s="1377"/>
      <c r="J14" s="1375" t="s">
        <v>499</v>
      </c>
      <c r="K14" s="1378"/>
      <c r="L14" s="490"/>
      <c r="M14" s="490"/>
      <c r="N14" s="644"/>
      <c r="O14" s="644"/>
      <c r="P14" s="490"/>
      <c r="Q14" s="1403" t="s">
        <v>54</v>
      </c>
      <c r="R14" s="1404"/>
      <c r="S14" s="1408">
        <f>D30</f>
        <v>9</v>
      </c>
      <c r="T14" s="490"/>
      <c r="U14" s="454"/>
      <c r="V14" s="454"/>
      <c r="W14" s="1398" t="str">
        <f>Skills!A156</f>
        <v>Medium armor</v>
      </c>
      <c r="X14" s="737"/>
      <c r="Y14" s="737"/>
      <c r="Z14" s="737"/>
      <c r="AA14" s="737" t="str">
        <f>Skills!C156</f>
        <v>Untrained</v>
      </c>
      <c r="AB14" s="1343"/>
      <c r="AC14" s="637"/>
    </row>
    <row r="15" spans="1:29" ht="19.5" customHeight="1" x14ac:dyDescent="0.3">
      <c r="A15" s="643"/>
      <c r="B15" s="1368" t="s">
        <v>504</v>
      </c>
      <c r="C15" s="1379">
        <f>Skills!C2</f>
        <v>10</v>
      </c>
      <c r="D15" s="1380" t="s">
        <v>502</v>
      </c>
      <c r="E15" s="1381">
        <f>Skills!C42</f>
        <v>3</v>
      </c>
      <c r="F15" s="1380" t="s">
        <v>499</v>
      </c>
      <c r="G15" s="1381">
        <f>Skills!C171</f>
        <v>7</v>
      </c>
      <c r="H15" s="1382" t="str">
        <f>Skills!C75</f>
        <v>Trained</v>
      </c>
      <c r="I15" s="1382"/>
      <c r="J15" s="1380" t="s">
        <v>499</v>
      </c>
      <c r="K15" s="1383"/>
      <c r="L15" s="498" t="str">
        <f>CONCATENATE(" &lt;&lt; ",Feats!C6)</f>
        <v xml:space="preserve"> &lt;&lt; Low-light vision</v>
      </c>
      <c r="M15" s="644"/>
      <c r="N15" s="644"/>
      <c r="O15" s="644"/>
      <c r="P15" s="490"/>
      <c r="Q15" s="1405" t="s">
        <v>21</v>
      </c>
      <c r="R15" s="1406"/>
      <c r="S15" s="1409">
        <f>D31</f>
        <v>9</v>
      </c>
      <c r="T15" s="454"/>
      <c r="U15" s="454"/>
      <c r="V15" s="454"/>
      <c r="W15" s="1398" t="str">
        <f>Skills!A158</f>
        <v>Heavy armor</v>
      </c>
      <c r="X15" s="737"/>
      <c r="Y15" s="737"/>
      <c r="Z15" s="737"/>
      <c r="AA15" s="737" t="str">
        <f>Skills!C158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Skills!C163</f>
        <v>Untrained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s="627" customFormat="1" ht="19.5" customHeight="1" x14ac:dyDescent="0.25">
      <c r="A18" s="643"/>
      <c r="B18" s="764" t="str">
        <f>'Equipment Combat'!C349</f>
        <v>+1 Staff</v>
      </c>
      <c r="C18" s="765"/>
      <c r="D18" s="765"/>
      <c r="E18" s="1559" t="str">
        <f>'Equipment Combat'!C364</f>
        <v>8/3/-2</v>
      </c>
      <c r="F18" s="1559"/>
      <c r="G18" s="748" t="str">
        <f>"= "&amp;'Equipment Combat'!C367</f>
        <v>= 0</v>
      </c>
      <c r="H18" s="747" t="str">
        <f>'Equipment Combat'!C365</f>
        <v>STR</v>
      </c>
      <c r="I18" s="747"/>
      <c r="J18" s="748" t="str">
        <f>"+ "&amp;'Equipment Combat'!C368</f>
        <v>+ 7</v>
      </c>
      <c r="K18" s="747" t="str">
        <f>'Equipment Combat'!C366</f>
        <v>Trained</v>
      </c>
      <c r="L18" s="747"/>
      <c r="M18" s="1350">
        <f>'Equipment Combat'!C369</f>
        <v>1</v>
      </c>
      <c r="N18" s="457" t="s">
        <v>505</v>
      </c>
      <c r="O18" s="1560" t="str">
        <f>CONCATENATE('Equipment Combat'!C375,'Equipment Combat'!C357)</f>
        <v>1d4</v>
      </c>
      <c r="P18" s="1561"/>
      <c r="Q18" s="1321" t="str">
        <f>"+"&amp;'Equipment Combat'!C374</f>
        <v>+0</v>
      </c>
      <c r="R18" s="752" t="str">
        <f>'Equipment Combat'!C373</f>
        <v>STR</v>
      </c>
      <c r="S18" s="1351" t="str">
        <f>'Equipment Combat'!C358</f>
        <v>Bludgeoning</v>
      </c>
      <c r="T18" s="1352" t="str">
        <f>'Equipment Combat'!C363</f>
        <v>Club</v>
      </c>
      <c r="U18" s="1353"/>
      <c r="V18" s="1352" t="str">
        <f>'Equipment Combat'!C351&amp;IF('Equipment Combat'!C352="-","",", "&amp;'Equipment Combat'!C352)&amp;IF('Equipment Combat'!C353="-","",", "&amp;'Equipment Combat'!C353)&amp;IF('Equipment Combat'!C354="-","",", "&amp;'Equipment Combat'!C354)&amp;IF('Equipment Combat'!C355="-","",", "&amp;'Equipment Combat'!C355)&amp;IF('Equipment Combat'!C360="-","",", "&amp;'Equipment Combat'!C360)&amp;IF('Equipment Combat'!C361="-","",", "&amp;'Equipment Combat'!C361)</f>
        <v>Specific 1, Two-Hand 1d8</v>
      </c>
      <c r="W18" s="1354"/>
      <c r="X18" s="1354"/>
      <c r="Y18" s="1354"/>
      <c r="Z18" s="1354"/>
      <c r="AA18" s="1354"/>
      <c r="AB18" s="1353"/>
      <c r="AC18" s="637"/>
    </row>
    <row r="19" spans="1:29" s="627" customFormat="1" ht="19.5" customHeight="1" x14ac:dyDescent="0.25">
      <c r="A19" s="643"/>
      <c r="B19" s="766" t="str">
        <f>'Equipment Combat'!C376</f>
        <v>+1 Staff (2H)</v>
      </c>
      <c r="C19" s="767"/>
      <c r="D19" s="767"/>
      <c r="E19" s="1534" t="str">
        <f>'Equipment Combat'!C391</f>
        <v>8/3/-2</v>
      </c>
      <c r="F19" s="1534"/>
      <c r="G19" s="750" t="str">
        <f>"= "&amp;'Equipment Combat'!C394</f>
        <v>= 0</v>
      </c>
      <c r="H19" s="749" t="str">
        <f>'Equipment Combat'!C392</f>
        <v>STR</v>
      </c>
      <c r="I19" s="749"/>
      <c r="J19" s="750" t="str">
        <f>"+ "&amp;'Equipment Combat'!C395</f>
        <v>+ 7</v>
      </c>
      <c r="K19" s="749" t="str">
        <f>'Equipment Combat'!C393</f>
        <v>Trained</v>
      </c>
      <c r="L19" s="749"/>
      <c r="M19" s="1355">
        <f>'Equipment Combat'!C396</f>
        <v>1</v>
      </c>
      <c r="N19" s="457" t="s">
        <v>505</v>
      </c>
      <c r="O19" s="1540" t="str">
        <f>CONCATENATE('Equipment Combat'!C402,'Equipment Combat'!C384)</f>
        <v>1d8</v>
      </c>
      <c r="P19" s="1541"/>
      <c r="Q19" s="1318" t="str">
        <f>"+"&amp;'Equipment Combat'!C401</f>
        <v>+0</v>
      </c>
      <c r="R19" s="753" t="str">
        <f>'Equipment Combat'!C400</f>
        <v>STR</v>
      </c>
      <c r="S19" s="1356" t="str">
        <f>'Equipment Combat'!C385</f>
        <v>Bludgeoning</v>
      </c>
      <c r="T19" s="1357" t="str">
        <f>'Equipment Combat'!C390</f>
        <v>Club</v>
      </c>
      <c r="U19" s="1358"/>
      <c r="V19" s="1357" t="str">
        <f>'Equipment Combat'!C378&amp;IF('Equipment Combat'!C379="-","",", "&amp;'Equipment Combat'!C379)&amp;IF('Equipment Combat'!C380="-","",", "&amp;'Equipment Combat'!C380)&amp;IF('Equipment Combat'!C381="-","",", "&amp;'Equipment Combat'!C381)&amp;IF('Equipment Combat'!C382="-","",", "&amp;'Equipment Combat'!C382)&amp;IF('Equipment Combat'!C387="-","",", "&amp;'Equipment Combat'!C387)&amp;IF('Equipment Combat'!C388="-","",", "&amp;'Equipment Combat'!C388)</f>
        <v>Specific 1, Two-Hand 1d8</v>
      </c>
      <c r="W19" s="1359"/>
      <c r="X19" s="1359"/>
      <c r="Y19" s="1359"/>
      <c r="Z19" s="1359"/>
      <c r="AA19" s="1359"/>
      <c r="AB19" s="1358"/>
      <c r="AC19" s="637"/>
    </row>
    <row r="20" spans="1:29" s="627" customFormat="1" ht="19.5" customHeight="1" x14ac:dyDescent="0.25">
      <c r="A20" s="643"/>
      <c r="B20" s="766" t="str">
        <f>'Equipment Combat'!C403</f>
        <v>Crossbow</v>
      </c>
      <c r="C20" s="767"/>
      <c r="D20" s="767"/>
      <c r="E20" s="1534" t="str">
        <f>'Equipment Combat'!C418</f>
        <v>9/4/-1</v>
      </c>
      <c r="F20" s="1534"/>
      <c r="G20" s="750" t="str">
        <f>"= "&amp;'Equipment Combat'!C421</f>
        <v>= 2</v>
      </c>
      <c r="H20" s="749" t="str">
        <f>'Equipment Combat'!C419</f>
        <v>DEX</v>
      </c>
      <c r="I20" s="749"/>
      <c r="J20" s="750" t="str">
        <f>"+ "&amp;'Equipment Combat'!C422</f>
        <v>+ 7</v>
      </c>
      <c r="K20" s="749" t="str">
        <f>'Equipment Combat'!C420</f>
        <v>Trained</v>
      </c>
      <c r="L20" s="749"/>
      <c r="M20" s="1355">
        <f>'Equipment Combat'!C423</f>
        <v>0</v>
      </c>
      <c r="N20" s="457" t="s">
        <v>505</v>
      </c>
      <c r="O20" s="1540" t="str">
        <f>CONCATENATE('Equipment Combat'!C429,'Equipment Combat'!C411)</f>
        <v>1d8</v>
      </c>
      <c r="P20" s="1541"/>
      <c r="Q20" s="1318" t="str">
        <f>"+"&amp;'Equipment Combat'!C428</f>
        <v>+0</v>
      </c>
      <c r="R20" s="753" t="str">
        <f>'Equipment Combat'!C427</f>
        <v>-</v>
      </c>
      <c r="S20" s="1356" t="str">
        <f>'Equipment Combat'!C412</f>
        <v>Piercing</v>
      </c>
      <c r="T20" s="1357" t="str">
        <f>'Equipment Combat'!C417</f>
        <v>Bow</v>
      </c>
      <c r="U20" s="1358"/>
      <c r="V20" s="1357" t="str">
        <f>'Equipment Combat'!C405&amp;IF('Equipment Combat'!C406="-","",", "&amp;'Equipment Combat'!C406)&amp;IF('Equipment Combat'!C407="-","",", "&amp;'Equipment Combat'!C407)&amp;IF('Equipment Combat'!C408="-","",", "&amp;'Equipment Combat'!C408)&amp;IF('Equipment Combat'!C409="-","",", "&amp;'Equipment Combat'!C409)&amp;IF('Equipment Combat'!C414="-","",", "&amp;'Equipment Combat'!C414)&amp;IF('Equipment Combat'!C415="-","",", "&amp;'Equipment Combat'!C415)</f>
        <v>Specific 1, 120', Reload 1</v>
      </c>
      <c r="W20" s="1359"/>
      <c r="X20" s="1359"/>
      <c r="Y20" s="1359"/>
      <c r="Z20" s="1359"/>
      <c r="AA20" s="1359"/>
      <c r="AB20" s="1358"/>
      <c r="AC20" s="637"/>
    </row>
    <row r="21" spans="1:29" s="627" customFormat="1" ht="19.5" customHeight="1" x14ac:dyDescent="0.25">
      <c r="A21" s="643"/>
      <c r="B21" s="766" t="str">
        <f>'Equipment Combat'!C430</f>
        <v>Fist</v>
      </c>
      <c r="C21" s="767"/>
      <c r="D21" s="767"/>
      <c r="E21" s="1534" t="str">
        <f>'Equipment Combat'!C445</f>
        <v>9/5/1</v>
      </c>
      <c r="F21" s="1534"/>
      <c r="G21" s="750" t="str">
        <f>"= "&amp;'Equipment Combat'!C448</f>
        <v>= 2</v>
      </c>
      <c r="H21" s="749" t="str">
        <f>'Equipment Combat'!C446</f>
        <v>STR/DEX</v>
      </c>
      <c r="I21" s="749"/>
      <c r="J21" s="750" t="str">
        <f>"+ "&amp;'Equipment Combat'!C449</f>
        <v>+ 7</v>
      </c>
      <c r="K21" s="749" t="str">
        <f>'Equipment Combat'!C447</f>
        <v>Trained</v>
      </c>
      <c r="L21" s="749"/>
      <c r="M21" s="1355">
        <f>'Equipment Combat'!C450</f>
        <v>0</v>
      </c>
      <c r="N21" s="457" t="s">
        <v>505</v>
      </c>
      <c r="O21" s="1540" t="str">
        <f>CONCATENATE('Equipment Combat'!C456,'Equipment Combat'!C438)</f>
        <v>1d4</v>
      </c>
      <c r="P21" s="1541"/>
      <c r="Q21" s="1318" t="str">
        <f>"+"&amp;'Equipment Combat'!C455</f>
        <v>+0</v>
      </c>
      <c r="R21" s="753" t="str">
        <f>'Equipment Combat'!C454</f>
        <v>STR</v>
      </c>
      <c r="S21" s="1356" t="str">
        <f>'Equipment Combat'!C439</f>
        <v>Bludgeoning</v>
      </c>
      <c r="T21" s="1357" t="str">
        <f>'Equipment Combat'!C444</f>
        <v>Brawling</v>
      </c>
      <c r="U21" s="1358"/>
      <c r="V21" s="1357" t="str">
        <f>'Equipment Combat'!C432&amp;IF('Equipment Combat'!C433="-","",", "&amp;'Equipment Combat'!C433)&amp;IF('Equipment Combat'!C434="-","",", "&amp;'Equipment Combat'!C434)&amp;IF('Equipment Combat'!C435="-","",", "&amp;'Equipment Combat'!C435)&amp;IF('Equipment Combat'!C436="-","",", "&amp;'Equipment Combat'!C436)&amp;IF('Equipment Combat'!C441="-","",", "&amp;'Equipment Combat'!C441)&amp;IF('Equipment Combat'!C442="-","",", "&amp;'Equipment Combat'!C442)</f>
        <v>Unarmed, Agile, Finesse, Nonlethal</v>
      </c>
      <c r="W21" s="1359"/>
      <c r="X21" s="1359"/>
      <c r="Y21" s="1359"/>
      <c r="Z21" s="1359"/>
      <c r="AA21" s="1359"/>
      <c r="AB21" s="1358"/>
      <c r="AC21" s="637"/>
    </row>
    <row r="22" spans="1:29" s="627" customFormat="1" ht="19.5" hidden="1" customHeight="1" outlineLevel="1" x14ac:dyDescent="0.25">
      <c r="A22" s="643"/>
      <c r="B22" s="766" t="str">
        <f>'Equipment Combat'!C457</f>
        <v xml:space="preserve">  </v>
      </c>
      <c r="C22" s="767"/>
      <c r="D22" s="767"/>
      <c r="E22" s="1534">
        <f>'Equipment Combat'!C472</f>
        <v>0</v>
      </c>
      <c r="F22" s="1534"/>
      <c r="G22" s="750" t="str">
        <f>"= "&amp;'Equipment Combat'!C475</f>
        <v xml:space="preserve">=   </v>
      </c>
      <c r="H22" s="749" t="str">
        <f>'Equipment Combat'!C473</f>
        <v xml:space="preserve">  </v>
      </c>
      <c r="I22" s="749"/>
      <c r="J22" s="750" t="str">
        <f>"+ "&amp;'Equipment Combat'!C476</f>
        <v xml:space="preserve">+   </v>
      </c>
      <c r="K22" s="749" t="str">
        <f>'Equipment Combat'!C474</f>
        <v xml:space="preserve">  </v>
      </c>
      <c r="L22" s="749"/>
      <c r="M22" s="1355" t="str">
        <f>'Equipment Combat'!C477</f>
        <v xml:space="preserve">  </v>
      </c>
      <c r="N22" s="457" t="s">
        <v>505</v>
      </c>
      <c r="O22" s="1540" t="str">
        <f>CONCATENATE('Equipment Combat'!C483,'Equipment Combat'!C465)</f>
        <v xml:space="preserve">    </v>
      </c>
      <c r="P22" s="1541"/>
      <c r="Q22" s="1318" t="str">
        <f>"+"&amp;'Equipment Combat'!C482</f>
        <v>+</v>
      </c>
      <c r="R22" s="753" t="str">
        <f>'Equipment Combat'!C481</f>
        <v xml:space="preserve">  </v>
      </c>
      <c r="S22" s="1356" t="str">
        <f>'Equipment Combat'!C466</f>
        <v>-</v>
      </c>
      <c r="T22" s="1357" t="str">
        <f>'Equipment Combat'!C471</f>
        <v>-</v>
      </c>
      <c r="U22" s="1358"/>
      <c r="V22" s="1357" t="str">
        <f>'Equipment Combat'!C459&amp;IF('Equipment Combat'!C460="-","",", "&amp;'Equipment Combat'!C460)&amp;IF('Equipment Combat'!C461="-","",", "&amp;'Equipment Combat'!C461)&amp;IF('Equipment Combat'!C462="-","",", "&amp;'Equipment Combat'!C462)&amp;IF('Equipment Combat'!C463="-","",", "&amp;'Equipment Combat'!C463)&amp;IF('Equipment Combat'!C468="-","",", "&amp;'Equipment Combat'!C468)&amp;IF('Equipment Combat'!C469="-","",", "&amp;'Equipment Combat'!C469)</f>
        <v>-</v>
      </c>
      <c r="W22" s="1359"/>
      <c r="X22" s="1359"/>
      <c r="Y22" s="1359"/>
      <c r="Z22" s="1359"/>
      <c r="AA22" s="1359"/>
      <c r="AB22" s="1358"/>
      <c r="AC22" s="637"/>
    </row>
    <row r="23" spans="1:29" s="627" customFormat="1" ht="19.5" hidden="1" customHeight="1" outlineLevel="1" x14ac:dyDescent="0.25">
      <c r="A23" s="643"/>
      <c r="B23" s="1360" t="str">
        <f>'Equipment Combat'!C484</f>
        <v xml:space="preserve">  </v>
      </c>
      <c r="C23" s="1361"/>
      <c r="D23" s="1361"/>
      <c r="E23" s="1535">
        <f>'Equipment Combat'!C499</f>
        <v>0</v>
      </c>
      <c r="F23" s="1535"/>
      <c r="G23" s="751" t="str">
        <f>"= "&amp;'Equipment Combat'!C502</f>
        <v xml:space="preserve">=   </v>
      </c>
      <c r="H23" s="1362" t="str">
        <f>'Equipment Combat'!C500</f>
        <v xml:space="preserve">  </v>
      </c>
      <c r="I23" s="918"/>
      <c r="J23" s="751" t="str">
        <f>"+ "&amp;'Equipment Combat'!C503</f>
        <v xml:space="preserve">+   </v>
      </c>
      <c r="K23" s="918" t="str">
        <f>'Equipment Combat'!C501</f>
        <v xml:space="preserve">  </v>
      </c>
      <c r="L23" s="918"/>
      <c r="M23" s="1363" t="str">
        <f>'Equipment Combat'!C504</f>
        <v xml:space="preserve">  </v>
      </c>
      <c r="N23" s="457" t="s">
        <v>505</v>
      </c>
      <c r="O23" s="1542" t="str">
        <f>CONCATENATE('Equipment Combat'!C510,'Equipment Combat'!C492)</f>
        <v xml:space="preserve">    </v>
      </c>
      <c r="P23" s="1543"/>
      <c r="Q23" s="1319" t="str">
        <f>"+"&amp;'Equipment Combat'!C509</f>
        <v xml:space="preserve">+  </v>
      </c>
      <c r="R23" s="917" t="str">
        <f>'Equipment Combat'!C508</f>
        <v xml:space="preserve">  </v>
      </c>
      <c r="S23" s="1364" t="str">
        <f>'Equipment Combat'!C493</f>
        <v>-</v>
      </c>
      <c r="T23" s="1365" t="str">
        <f>'Equipment Combat'!C498</f>
        <v>-</v>
      </c>
      <c r="U23" s="1366"/>
      <c r="V23" s="1365" t="str">
        <f>'Equipment Combat'!C486&amp;IF('Equipment Combat'!C487="-","",", "&amp;'Equipment Combat'!C487)&amp;IF('Equipment Combat'!C488="-","",", "&amp;'Equipment Combat'!C488)&amp;IF('Equipment Combat'!C489="-","",", "&amp;'Equipment Combat'!C489)&amp;IF('Equipment Combat'!C490="-","",", "&amp;'Equipment Combat'!C490)&amp;IF('Equipment Combat'!C495="-","",", "&amp;'Equipment Combat'!C495)&amp;IF('Equipment Combat'!C496="-","",", "&amp;'Equipment Combat'!C496)</f>
        <v>-</v>
      </c>
      <c r="W23" s="1367"/>
      <c r="X23" s="1367"/>
      <c r="Y23" s="1367"/>
      <c r="Z23" s="1367"/>
      <c r="AA23" s="1367"/>
      <c r="AB23" s="1366"/>
      <c r="AC23" s="637"/>
    </row>
    <row r="24" spans="1:29" s="450" customFormat="1" ht="19.5" customHeight="1" collapsed="1" x14ac:dyDescent="0.3">
      <c r="A24" s="648"/>
      <c r="B24" s="640" t="s">
        <v>19</v>
      </c>
      <c r="C24" s="640"/>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490"/>
      <c r="P25" s="490"/>
      <c r="Q25" s="490"/>
      <c r="R25" s="489" t="s">
        <v>7</v>
      </c>
      <c r="S25" s="490"/>
      <c r="T25" s="489" t="s">
        <v>79</v>
      </c>
      <c r="U25" s="490"/>
      <c r="V25" s="490"/>
      <c r="W25" s="489" t="s">
        <v>324</v>
      </c>
      <c r="X25" s="490"/>
      <c r="Y25" s="490"/>
      <c r="Z25" s="489" t="s">
        <v>342</v>
      </c>
      <c r="AA25" s="490"/>
      <c r="AB25" s="489" t="s">
        <v>301</v>
      </c>
      <c r="AC25" s="637"/>
    </row>
    <row r="26" spans="1:29" ht="19.5" customHeight="1" x14ac:dyDescent="0.25">
      <c r="A26" s="643"/>
      <c r="B26" s="754" t="s">
        <v>20</v>
      </c>
      <c r="C26" s="755"/>
      <c r="D26" s="756">
        <f>Skills!C8</f>
        <v>2</v>
      </c>
      <c r="E26" s="732" t="s">
        <v>502</v>
      </c>
      <c r="F26" s="733">
        <f>Skills!C49</f>
        <v>2</v>
      </c>
      <c r="G26" s="733" t="s">
        <v>499</v>
      </c>
      <c r="H26" s="1339">
        <f>Skills!C175</f>
        <v>0</v>
      </c>
      <c r="I26" s="731" t="str">
        <f>Skills!C96</f>
        <v>Untrained</v>
      </c>
      <c r="J26" s="731"/>
      <c r="K26" s="734" t="s">
        <v>499</v>
      </c>
      <c r="L26" s="734"/>
      <c r="M26" s="734" t="s">
        <v>499</v>
      </c>
      <c r="N26" s="735">
        <f>Skills!C277</f>
        <v>0</v>
      </c>
      <c r="O26" s="754" t="s">
        <v>60</v>
      </c>
      <c r="P26" s="755"/>
      <c r="Q26" s="1340"/>
      <c r="R26" s="756">
        <f>Skills!C25</f>
        <v>11</v>
      </c>
      <c r="S26" s="732" t="s">
        <v>502</v>
      </c>
      <c r="T26" s="733">
        <f>Skills!C63</f>
        <v>2</v>
      </c>
      <c r="U26" s="733" t="s">
        <v>499</v>
      </c>
      <c r="V26" s="733">
        <f>Skills!C189</f>
        <v>9</v>
      </c>
      <c r="W26" s="731" t="str">
        <f>Skills!C124</f>
        <v>Expert</v>
      </c>
      <c r="X26" s="731"/>
      <c r="Y26" s="734" t="s">
        <v>499</v>
      </c>
      <c r="Z26" s="734"/>
      <c r="AA26" s="734" t="s">
        <v>499</v>
      </c>
      <c r="AB26" s="736"/>
      <c r="AC26" s="637"/>
    </row>
    <row r="27" spans="1:29" ht="19.5" customHeight="1" x14ac:dyDescent="0.25">
      <c r="A27" s="643"/>
      <c r="B27" s="757" t="s">
        <v>51</v>
      </c>
      <c r="C27" s="758"/>
      <c r="D27" s="759">
        <f>Skills!C9</f>
        <v>11</v>
      </c>
      <c r="E27" s="738" t="s">
        <v>502</v>
      </c>
      <c r="F27" s="739">
        <f>Skills!C50</f>
        <v>4</v>
      </c>
      <c r="G27" s="739" t="s">
        <v>499</v>
      </c>
      <c r="H27" s="1341">
        <f>Skills!C176</f>
        <v>7</v>
      </c>
      <c r="I27" s="737" t="str">
        <f>Skills!C98</f>
        <v>Trained</v>
      </c>
      <c r="J27" s="737"/>
      <c r="K27" s="740" t="s">
        <v>499</v>
      </c>
      <c r="L27" s="740"/>
      <c r="M27" s="740" t="s">
        <v>499</v>
      </c>
      <c r="N27" s="741"/>
      <c r="O27" s="757" t="s">
        <v>61</v>
      </c>
      <c r="P27" s="758"/>
      <c r="Q27" s="1342"/>
      <c r="R27" s="759">
        <f>Skills!C26</f>
        <v>3</v>
      </c>
      <c r="S27" s="738" t="s">
        <v>502</v>
      </c>
      <c r="T27" s="739">
        <f>Skills!C64</f>
        <v>3</v>
      </c>
      <c r="U27" s="739" t="s">
        <v>499</v>
      </c>
      <c r="V27" s="739">
        <f>Skills!C190</f>
        <v>0</v>
      </c>
      <c r="W27" s="737" t="str">
        <f>Skills!C126</f>
        <v>Untrained</v>
      </c>
      <c r="X27" s="737"/>
      <c r="Y27" s="740" t="s">
        <v>499</v>
      </c>
      <c r="Z27" s="740"/>
      <c r="AA27" s="740" t="s">
        <v>499</v>
      </c>
      <c r="AB27" s="741"/>
      <c r="AC27" s="637"/>
    </row>
    <row r="28" spans="1:29" ht="19.5" customHeight="1" x14ac:dyDescent="0.25">
      <c r="A28" s="643"/>
      <c r="B28" s="757" t="s">
        <v>52</v>
      </c>
      <c r="C28" s="758"/>
      <c r="D28" s="759">
        <f>Skills!C10</f>
        <v>0</v>
      </c>
      <c r="E28" s="738" t="s">
        <v>502</v>
      </c>
      <c r="F28" s="739">
        <f>Skills!C51</f>
        <v>0</v>
      </c>
      <c r="G28" s="739" t="s">
        <v>499</v>
      </c>
      <c r="H28" s="1341">
        <f>Skills!C177</f>
        <v>0</v>
      </c>
      <c r="I28" s="737" t="str">
        <f>Skills!C100</f>
        <v>Untrained</v>
      </c>
      <c r="J28" s="737"/>
      <c r="K28" s="740" t="s">
        <v>499</v>
      </c>
      <c r="L28" s="740"/>
      <c r="M28" s="740" t="s">
        <v>499</v>
      </c>
      <c r="N28" s="742">
        <f>Skills!C278</f>
        <v>0</v>
      </c>
      <c r="O28" s="757" t="s">
        <v>62</v>
      </c>
      <c r="P28" s="758"/>
      <c r="Q28" s="758"/>
      <c r="R28" s="759">
        <f>Skills!C27</f>
        <v>11</v>
      </c>
      <c r="S28" s="738" t="s">
        <v>502</v>
      </c>
      <c r="T28" s="739">
        <f>Skills!C65</f>
        <v>4</v>
      </c>
      <c r="U28" s="739" t="s">
        <v>499</v>
      </c>
      <c r="V28" s="739">
        <f>Skills!C191</f>
        <v>7</v>
      </c>
      <c r="W28" s="737" t="str">
        <f>Skills!C128</f>
        <v>Trained</v>
      </c>
      <c r="X28" s="737"/>
      <c r="Y28" s="740" t="s">
        <v>499</v>
      </c>
      <c r="Z28" s="740"/>
      <c r="AA28" s="740" t="s">
        <v>499</v>
      </c>
      <c r="AB28" s="741"/>
      <c r="AC28" s="637"/>
    </row>
    <row r="29" spans="1:29" ht="19.5" customHeight="1" x14ac:dyDescent="0.25">
      <c r="A29" s="643"/>
      <c r="B29" s="757" t="s">
        <v>53</v>
      </c>
      <c r="C29" s="758"/>
      <c r="D29" s="759">
        <f>Skills!C11</f>
        <v>11</v>
      </c>
      <c r="E29" s="738" t="s">
        <v>502</v>
      </c>
      <c r="F29" s="739">
        <f>Skills!C52</f>
        <v>4</v>
      </c>
      <c r="G29" s="739" t="s">
        <v>499</v>
      </c>
      <c r="H29" s="1341">
        <f>Skills!C178</f>
        <v>7</v>
      </c>
      <c r="I29" s="737" t="str">
        <f>Skills!C102</f>
        <v>Trained</v>
      </c>
      <c r="J29" s="737"/>
      <c r="K29" s="740" t="s">
        <v>499</v>
      </c>
      <c r="L29" s="740"/>
      <c r="M29" s="740" t="s">
        <v>499</v>
      </c>
      <c r="N29" s="741"/>
      <c r="O29" s="757" t="s">
        <v>23</v>
      </c>
      <c r="P29" s="758"/>
      <c r="Q29" s="1342"/>
      <c r="R29" s="759">
        <f>Skills!C28</f>
        <v>2</v>
      </c>
      <c r="S29" s="738" t="s">
        <v>502</v>
      </c>
      <c r="T29" s="739">
        <f>Skills!C66</f>
        <v>2</v>
      </c>
      <c r="U29" s="739" t="s">
        <v>499</v>
      </c>
      <c r="V29" s="739">
        <f>Skills!C192</f>
        <v>0</v>
      </c>
      <c r="W29" s="737" t="str">
        <f>Skills!C130</f>
        <v>Untrained</v>
      </c>
      <c r="X29" s="737"/>
      <c r="Y29" s="740" t="s">
        <v>499</v>
      </c>
      <c r="Z29" s="740"/>
      <c r="AA29" s="740" t="s">
        <v>499</v>
      </c>
      <c r="AB29" s="742">
        <f>Skills!C279</f>
        <v>0</v>
      </c>
      <c r="AC29" s="637"/>
    </row>
    <row r="30" spans="1:29" ht="19.5" customHeight="1" x14ac:dyDescent="0.25">
      <c r="A30" s="643"/>
      <c r="B30" s="757" t="s">
        <v>54</v>
      </c>
      <c r="C30" s="758"/>
      <c r="D30" s="759">
        <f>Skills!C12</f>
        <v>9</v>
      </c>
      <c r="E30" s="738" t="s">
        <v>502</v>
      </c>
      <c r="F30" s="739">
        <f>Skills!C53</f>
        <v>2</v>
      </c>
      <c r="G30" s="739" t="s">
        <v>499</v>
      </c>
      <c r="H30" s="1341">
        <f>Skills!C179</f>
        <v>7</v>
      </c>
      <c r="I30" s="737" t="str">
        <f>Skills!C104</f>
        <v>Trained</v>
      </c>
      <c r="J30" s="737"/>
      <c r="K30" s="740" t="s">
        <v>499</v>
      </c>
      <c r="L30" s="740"/>
      <c r="M30" s="740" t="s">
        <v>499</v>
      </c>
      <c r="N30" s="741"/>
      <c r="O30" s="757" t="s">
        <v>24</v>
      </c>
      <c r="P30" s="758"/>
      <c r="Q30" s="1342"/>
      <c r="R30" s="759">
        <f>Skills!C29</f>
        <v>10</v>
      </c>
      <c r="S30" s="738" t="s">
        <v>502</v>
      </c>
      <c r="T30" s="739">
        <f>Skills!C67</f>
        <v>3</v>
      </c>
      <c r="U30" s="739" t="s">
        <v>499</v>
      </c>
      <c r="V30" s="739">
        <f>Skills!C193</f>
        <v>7</v>
      </c>
      <c r="W30" s="737" t="str">
        <f>Skills!C132</f>
        <v>Trained</v>
      </c>
      <c r="X30" s="737"/>
      <c r="Y30" s="740" t="s">
        <v>499</v>
      </c>
      <c r="Z30" s="740"/>
      <c r="AA30" s="740" t="s">
        <v>499</v>
      </c>
      <c r="AB30" s="741"/>
      <c r="AC30" s="637"/>
    </row>
    <row r="31" spans="1:29" ht="19.5" customHeight="1" x14ac:dyDescent="0.25">
      <c r="A31" s="643"/>
      <c r="B31" s="757" t="s">
        <v>21</v>
      </c>
      <c r="C31" s="758"/>
      <c r="D31" s="759">
        <f>Skills!C13</f>
        <v>9</v>
      </c>
      <c r="E31" s="738" t="s">
        <v>502</v>
      </c>
      <c r="F31" s="739">
        <f>Skills!C54</f>
        <v>2</v>
      </c>
      <c r="G31" s="739" t="s">
        <v>499</v>
      </c>
      <c r="H31" s="1341">
        <f>Skills!C180</f>
        <v>7</v>
      </c>
      <c r="I31" s="737" t="str">
        <f>Skills!C106</f>
        <v>Trained</v>
      </c>
      <c r="J31" s="737"/>
      <c r="K31" s="740" t="s">
        <v>499</v>
      </c>
      <c r="L31" s="740"/>
      <c r="M31" s="740" t="s">
        <v>499</v>
      </c>
      <c r="N31" s="741"/>
      <c r="O31" s="757" t="s">
        <v>63</v>
      </c>
      <c r="P31" s="758"/>
      <c r="Q31" s="1342"/>
      <c r="R31" s="759">
        <f>Skills!C30</f>
        <v>2</v>
      </c>
      <c r="S31" s="738" t="s">
        <v>502</v>
      </c>
      <c r="T31" s="739">
        <f>Skills!C68</f>
        <v>2</v>
      </c>
      <c r="U31" s="739" t="s">
        <v>499</v>
      </c>
      <c r="V31" s="739">
        <f>Skills!C194</f>
        <v>0</v>
      </c>
      <c r="W31" s="737" t="str">
        <f>Skills!C134</f>
        <v>Untrained</v>
      </c>
      <c r="X31" s="737"/>
      <c r="Y31" s="740" t="s">
        <v>499</v>
      </c>
      <c r="Z31" s="740"/>
      <c r="AA31" s="740" t="s">
        <v>499</v>
      </c>
      <c r="AB31" s="742">
        <f>Skills!C280</f>
        <v>0</v>
      </c>
      <c r="AC31" s="637"/>
    </row>
    <row r="32" spans="1:29" ht="19.5" customHeight="1" x14ac:dyDescent="0.25">
      <c r="A32" s="643"/>
      <c r="B32" s="757" t="s">
        <v>55</v>
      </c>
      <c r="C32" s="758"/>
      <c r="D32" s="759">
        <f>Skills!C14</f>
        <v>2</v>
      </c>
      <c r="E32" s="738" t="s">
        <v>502</v>
      </c>
      <c r="F32" s="739">
        <f>Skills!C55</f>
        <v>2</v>
      </c>
      <c r="G32" s="739" t="s">
        <v>499</v>
      </c>
      <c r="H32" s="1341">
        <f>Skills!C181</f>
        <v>0</v>
      </c>
      <c r="I32" s="737" t="str">
        <f>Skills!C108</f>
        <v>Untrained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",Skills!C17)</f>
        <v>&gt; Politics</v>
      </c>
      <c r="C33" s="758"/>
      <c r="D33" s="759">
        <f>Skills!C16</f>
        <v>11</v>
      </c>
      <c r="E33" s="738" t="s">
        <v>502</v>
      </c>
      <c r="F33" s="739">
        <f>Skills!C57</f>
        <v>4</v>
      </c>
      <c r="G33" s="739" t="s">
        <v>499</v>
      </c>
      <c r="H33" s="1341">
        <f>Skills!C183</f>
        <v>7</v>
      </c>
      <c r="I33" s="737" t="str">
        <f>Skills!C112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hidden="1" customHeight="1" outlineLevel="1" x14ac:dyDescent="0.25">
      <c r="A34" s="643"/>
      <c r="B34" s="1140" t="str">
        <f>IF(Skills!C19="","",CONCATENATE("&gt; ",Skills!C19))</f>
        <v/>
      </c>
      <c r="C34" s="758"/>
      <c r="D34" s="759" t="str">
        <f>IF(Skills!C19="","",Skills!C18)</f>
        <v/>
      </c>
      <c r="E34" s="738" t="s">
        <v>502</v>
      </c>
      <c r="F34" s="739" t="str">
        <f>IF(Skills!C19="","",Skills!C57)</f>
        <v/>
      </c>
      <c r="G34" s="739" t="s">
        <v>499</v>
      </c>
      <c r="H34" s="1341">
        <f>Skills!C184</f>
        <v>0</v>
      </c>
      <c r="I34" s="737" t="str">
        <f>Skills!C114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collapsed="1" x14ac:dyDescent="0.25">
      <c r="A35" s="643"/>
      <c r="B35" s="760" t="s">
        <v>57</v>
      </c>
      <c r="C35" s="758"/>
      <c r="D35" s="759">
        <f>Skills!C22</f>
        <v>12</v>
      </c>
      <c r="E35" s="738" t="s">
        <v>502</v>
      </c>
      <c r="F35" s="739">
        <f>Skills!C60</f>
        <v>3</v>
      </c>
      <c r="G35" s="739" t="s">
        <v>499</v>
      </c>
      <c r="H35" s="1341">
        <f>Skills!C186</f>
        <v>9</v>
      </c>
      <c r="I35" s="737" t="str">
        <f>Skills!C118</f>
        <v>Expert</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Skills!C23</f>
        <v>3</v>
      </c>
      <c r="E36" s="738" t="s">
        <v>502</v>
      </c>
      <c r="F36" s="739">
        <f>Skills!C61</f>
        <v>3</v>
      </c>
      <c r="G36" s="739" t="s">
        <v>499</v>
      </c>
      <c r="H36" s="1341">
        <f>Skills!C187</f>
        <v>0</v>
      </c>
      <c r="I36" s="737" t="str">
        <f>Skills!C120</f>
        <v>Untrained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Skills!C24</f>
        <v>4</v>
      </c>
      <c r="E37" s="743" t="s">
        <v>502</v>
      </c>
      <c r="F37" s="744">
        <f>Skills!C62</f>
        <v>4</v>
      </c>
      <c r="G37" s="744" t="s">
        <v>499</v>
      </c>
      <c r="H37" s="1344">
        <f>Skills!C188</f>
        <v>0</v>
      </c>
      <c r="I37" s="1345" t="str">
        <f>Skills!C122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Combat'!C512="","",'Equipment Combat'!C512&amp;" -&gt; Trigger : "&amp;'Equipment Combat'!C513&amp;"; Effect : "&amp;'Equipment Combat'!C514&amp;IF('Equipment Combat'!C515="",""," - "&amp;'Equipment Combat'!C515))</f>
        <v>Recognize Spell -&gt; Trigger : Within line of sight; Effect : Roll to recognize - [Not prepared]</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customHeight="1" x14ac:dyDescent="0.25">
      <c r="A40" s="646"/>
      <c r="B40" s="725" t="str">
        <f>IF('Equipment Combat'!C516="","",'Equipment Combat'!C516&amp;" -&gt; Trigger : "&amp;'Equipment Combat'!C517&amp;"; Effect : "&amp;'Equipment Combat'!C518&amp;IF('Equipment Combat'!C519="",""," - "&amp;'Equipment Combat'!C519))</f>
        <v>Fight with Fear -&gt; Trigger : A creature uses a mental effect against you; Effect : WIL, creature frigtened 2, +2 save vs initial effect - [Must see creature]</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hidden="1" customHeight="1" outlineLevel="1" x14ac:dyDescent="0.25">
      <c r="A41" s="646"/>
      <c r="B41" s="725" t="str">
        <f>IF('Equipment Combat'!C520="","",'Equipment Combat'!C520&amp;" -&gt; Trigger : "&amp;'Equipment Combat'!C521&amp;"; Effect : "&amp;'Equipment Combat'!C522&amp;IF('Equipment Combat'!C523="",""," - "&amp;'Equipment Combat'!C523))</f>
        <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Combat'!C524="","",'Equipment Combat'!C524&amp;" -&gt; Trigger : "&amp;'Equipment Combat'!C525&amp;"; Effect : "&amp;'Equipment Combat'!C526&amp;IF('Equipment Combat'!C527="",""," - "&amp;'Equipment Combat'!C527))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Combat'!C528="","",'Equipment Combat'!C528&amp;" -&gt; Trigger : "&amp;'Equipment Combat'!C529&amp;"; Effect : "&amp;'Equipment Combat'!C530&amp;IF('Equipment Combat'!C531="",""," - "&amp;'Equipment Combat'!C531))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s="627" customFormat="1"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s="627" customFormat="1" ht="19.5" customHeight="1" x14ac:dyDescent="0.25">
      <c r="A48" s="656"/>
      <c r="B48" s="1328" t="str">
        <f>IF('Equipment Combat'!C7="","",'Equipment Combat'!C7&amp;" ("&amp;'Equipment Combat'!C114&amp;")")</f>
        <v>Backpack (Back)</v>
      </c>
      <c r="C48" s="1329"/>
      <c r="D48" s="1329"/>
      <c r="E48" s="1330"/>
      <c r="F48" s="1331"/>
      <c r="G48" s="714">
        <f>IF('Equipment Combat'!C60="","",'Equipment Combat'!C60)</f>
        <v>1</v>
      </c>
      <c r="H48" s="715" t="str">
        <f>IF('Equipment Combat'!C114="Stowed","["&amp;IF('Equipment Combat'!#REF!&lt;0.1,"",IF('Equipment Combat'!#REF!&lt;1,INT(10*'Equipment Combat'!#REF!)&amp;"L",INT('Equipment Combat'!#REF!)&amp;"B"))&amp;"]",IF('Equipment Combat'!C277&lt;0.1,"",IF('Equipment Combat'!C277&lt;1,INT(10*'Equipment Combat'!C277)&amp;"L",INT('Equipment Combat'!C277)&amp;"B")))</f>
        <v>6L</v>
      </c>
      <c r="I48" s="1328" t="str">
        <f>IF('Equipment Combat'!C20="","",'Equipment Combat'!C20&amp;" ("&amp;'Equipment Combat'!C127&amp;")")</f>
        <v>Writing set (Stowed)</v>
      </c>
      <c r="J48" s="1329"/>
      <c r="K48" s="1330"/>
      <c r="L48" s="1331"/>
      <c r="M48" s="1329"/>
      <c r="N48" s="714">
        <f>IF('Equipment Combat'!C73="","",'Equipment Combat'!C73)</f>
        <v>1</v>
      </c>
      <c r="O48" s="715" t="str">
        <f>IF('Equipment Combat'!C127="Stowed","["&amp;IF('Equipment Combat'!C234&lt;0.1,"",IF('Equipment Combat'!C234&lt;1,INT(10*'Equipment Combat'!C234)&amp;"L",INT('Equipment Combat'!C234)&amp;"B"))&amp;"]",IF('Equipment Combat'!C290&lt;0.1,"",IF('Equipment Combat'!C290&lt;1,INT(10*'Equipment Combat'!C290)&amp;"L",INT('Equipment Combat'!C290)&amp;"B")))</f>
        <v>[1L]</v>
      </c>
      <c r="P48" s="1328" t="str">
        <f>IF('Equipment Combat'!C33="","",'Equipment Combat'!C33&amp;" ("&amp;'Equipment Combat'!C140&amp;")")</f>
        <v>Elixir of Life (Lesser) (Worn)</v>
      </c>
      <c r="Q48" s="1329"/>
      <c r="R48" s="1330"/>
      <c r="S48" s="1331"/>
      <c r="T48" s="1329"/>
      <c r="U48" s="714">
        <f>IF('Equipment Combat'!C86="","",'Equipment Combat'!C86)</f>
        <v>1</v>
      </c>
      <c r="V48" s="715" t="str">
        <f>IF('Equipment Combat'!C140="Stowed","["&amp;IF('Equipment Combat'!C247&lt;0.1,"",IF('Equipment Combat'!C247&lt;1,INT(10*'Equipment Combat'!C247)&amp;"L",INT('Equipment Combat'!C247)&amp;"B"))&amp;"]",IF('Equipment Combat'!C303&lt;0.1,"",IF('Equipment Combat'!C303&lt;1,INT(10*'Equipment Combat'!C303)&amp;"L",INT('Equipment Combat'!C303)&amp;"B")))</f>
        <v>1L</v>
      </c>
      <c r="W48" s="1328" t="str">
        <f>IF('Equipment Combat'!C46="","",'Equipment Combat'!C46&amp;" ("&amp;'Equipment Combat'!C153&amp;")")</f>
        <v/>
      </c>
      <c r="X48" s="1329"/>
      <c r="Y48" s="1331"/>
      <c r="Z48" s="1329"/>
      <c r="AA48" s="714" t="str">
        <f>IF('Equipment Combat'!C99="","",'Equipment Combat'!C99)</f>
        <v/>
      </c>
      <c r="AB48" s="715" t="str">
        <f>IF('Equipment Combat'!C153="Stowed","["&amp;IF('Equipment Combat'!C260&lt;0.1,"",IF('Equipment Combat'!C260&lt;1,INT(10*'Equipment Combat'!C260)&amp;"L",INT('Equipment Combat'!C260)&amp;"B"))&amp;"]",IF('Equipment Combat'!C316&lt;0.1,"",IF('Equipment Combat'!C316&lt;1,INT(10*'Equipment Combat'!C316)&amp;"L",INT('Equipment Combat'!C316)&amp;"B")))</f>
        <v/>
      </c>
      <c r="AC48" s="637"/>
    </row>
    <row r="49" spans="1:29" s="627" customFormat="1" ht="19.5" customHeight="1" x14ac:dyDescent="0.25">
      <c r="A49" s="656"/>
      <c r="B49" s="1332" t="str">
        <f>IF('Equipment Combat'!C8="","",'Equipment Combat'!C8&amp;" ("&amp;'Equipment Combat'!C115&amp;")")</f>
        <v>Bedroll (Stowed)</v>
      </c>
      <c r="C49" s="1333"/>
      <c r="D49" s="1333"/>
      <c r="E49" s="1334"/>
      <c r="F49" s="1335"/>
      <c r="G49" s="716">
        <f>IF('Equipment Combat'!C61="","",'Equipment Combat'!C61)</f>
        <v>1</v>
      </c>
      <c r="H49" s="717" t="str">
        <f>IF('Equipment Combat'!C115="Stowed","["&amp;IF('Equipment Combat'!C222&lt;0.1,"",IF('Equipment Combat'!C222&lt;1,INT(10*'Equipment Combat'!C222)&amp;"L",INT('Equipment Combat'!C222)&amp;"B"))&amp;"]",IF('Equipment Combat'!C278&lt;0.1,"",IF('Equipment Combat'!C278&lt;1,INT(10*'Equipment Combat'!C278)&amp;"L",INT('Equipment Combat'!C278)&amp;"B")))</f>
        <v>[1L]</v>
      </c>
      <c r="I49" s="1332" t="str">
        <f>IF('Equipment Combat'!C21="","",'Equipment Combat'!C21&amp;" ("&amp;'Equipment Combat'!C128&amp;")")</f>
        <v>Hand of the Mage (Worn)</v>
      </c>
      <c r="J49" s="1333"/>
      <c r="K49" s="1334"/>
      <c r="L49" s="1335"/>
      <c r="M49" s="1333"/>
      <c r="N49" s="716">
        <f>IF('Equipment Combat'!C74="","",'Equipment Combat'!C74)</f>
        <v>1</v>
      </c>
      <c r="O49" s="717" t="str">
        <f>IF('Equipment Combat'!C128="Stowed","["&amp;IF('Equipment Combat'!C235&lt;0.1,"",IF('Equipment Combat'!C235&lt;1,INT(10*'Equipment Combat'!C235)&amp;"L",INT('Equipment Combat'!C235)&amp;"B"))&amp;"]",IF('Equipment Combat'!C291&lt;0.1,"",IF('Equipment Combat'!C291&lt;1,INT(10*'Equipment Combat'!C291)&amp;"L",INT('Equipment Combat'!C291)&amp;"B")))</f>
        <v>1L</v>
      </c>
      <c r="P49" s="1332" t="str">
        <f>IF('Equipment Combat'!C34="","",'Equipment Combat'!C34&amp;" ("&amp;'Equipment Combat'!C141&amp;")")</f>
        <v>Antiplague (Lesser) (Worn)</v>
      </c>
      <c r="Q49" s="1333"/>
      <c r="R49" s="1334"/>
      <c r="S49" s="1335"/>
      <c r="T49" s="1333"/>
      <c r="U49" s="716">
        <f>IF('Equipment Combat'!C87="","",'Equipment Combat'!C87)</f>
        <v>1</v>
      </c>
      <c r="V49" s="717" t="str">
        <f>IF('Equipment Combat'!C141="Stowed","["&amp;IF('Equipment Combat'!C248&lt;0.1,"",IF('Equipment Combat'!C248&lt;1,INT(10*'Equipment Combat'!C248)&amp;"L",INT('Equipment Combat'!C248)&amp;"B"))&amp;"]",IF('Equipment Combat'!C304&lt;0.1,"",IF('Equipment Combat'!C304&lt;1,INT(10*'Equipment Combat'!C304)&amp;"L",INT('Equipment Combat'!C304)&amp;"B")))</f>
        <v>1L</v>
      </c>
      <c r="W49" s="1332" t="str">
        <f>IF('Equipment Combat'!C47="","",'Equipment Combat'!C47&amp;" ("&amp;'Equipment Combat'!C154&amp;")")</f>
        <v/>
      </c>
      <c r="X49" s="1333"/>
      <c r="Y49" s="1335"/>
      <c r="Z49" s="1333"/>
      <c r="AA49" s="716" t="str">
        <f>IF('Equipment Combat'!C100="","",'Equipment Combat'!C100)</f>
        <v/>
      </c>
      <c r="AB49" s="717" t="str">
        <f>IF('Equipment Combat'!C154="Stowed","["&amp;IF('Equipment Combat'!C261&lt;0.1,"",IF('Equipment Combat'!C261&lt;1,INT(10*'Equipment Combat'!C261)&amp;"L",INT('Equipment Combat'!C261)&amp;"B"))&amp;"]",IF('Equipment Combat'!C317&lt;0.1,"",IF('Equipment Combat'!C317&lt;1,INT(10*'Equipment Combat'!C317)&amp;"L",INT('Equipment Combat'!C317)&amp;"B")))</f>
        <v/>
      </c>
      <c r="AC49" s="637"/>
    </row>
    <row r="50" spans="1:29" s="627" customFormat="1" ht="19.5" customHeight="1" x14ac:dyDescent="0.25">
      <c r="A50" s="656"/>
      <c r="B50" s="1332" t="str">
        <f>IF('Equipment Combat'!C9="","",'Equipment Combat'!C9&amp;" ("&amp;'Equipment Combat'!C116&amp;")")</f>
        <v>Chalk (Stowed)</v>
      </c>
      <c r="C50" s="1333"/>
      <c r="D50" s="1333"/>
      <c r="E50" s="1334"/>
      <c r="F50" s="1335"/>
      <c r="G50" s="716">
        <f>IF('Equipment Combat'!C62="","",'Equipment Combat'!C62)</f>
        <v>10</v>
      </c>
      <c r="H50" s="717" t="str">
        <f>IF('Equipment Combat'!C116="Stowed","["&amp;IF('Equipment Combat'!C223&lt;0.1,"",IF('Equipment Combat'!C223&lt;1,INT(10*'Equipment Combat'!C223)&amp;"L",INT('Equipment Combat'!C223)&amp;"B"))&amp;"]",IF('Equipment Combat'!C279&lt;0.1,"",IF('Equipment Combat'!C279&lt;1,INT(10*'Equipment Combat'!C279)&amp;"L",INT('Equipment Combat'!C279)&amp;"B")))</f>
        <v>[]</v>
      </c>
      <c r="I50" s="1332" t="str">
        <f>IF('Equipment Combat'!C22="","",'Equipment Combat'!C22&amp;" ("&amp;'Equipment Combat'!C129&amp;")")</f>
        <v>Invisibility Potion (Worn)</v>
      </c>
      <c r="J50" s="1333"/>
      <c r="K50" s="1334"/>
      <c r="L50" s="1335"/>
      <c r="M50" s="1333"/>
      <c r="N50" s="716">
        <f>IF('Equipment Combat'!C75="","",'Equipment Combat'!C75)</f>
        <v>1</v>
      </c>
      <c r="O50" s="717" t="str">
        <f>IF('Equipment Combat'!C129="Stowed","["&amp;IF('Equipment Combat'!C236&lt;0.1,"",IF('Equipment Combat'!C236&lt;1,INT(10*'Equipment Combat'!C236)&amp;"L",INT('Equipment Combat'!C236)&amp;"B"))&amp;"]",IF('Equipment Combat'!C292&lt;0.1,"",IF('Equipment Combat'!C292&lt;1,INT(10*'Equipment Combat'!C292)&amp;"L",INT('Equipment Combat'!C292)&amp;"B")))</f>
        <v>1L</v>
      </c>
      <c r="P50" s="1332" t="str">
        <f>IF('Equipment Combat'!C35="","",'Equipment Combat'!C35&amp;" ("&amp;'Equipment Combat'!C142&amp;")")</f>
        <v>Healer's Tools (Worn)</v>
      </c>
      <c r="Q50" s="1333"/>
      <c r="R50" s="1334"/>
      <c r="S50" s="1335"/>
      <c r="T50" s="1333"/>
      <c r="U50" s="716">
        <f>IF('Equipment Combat'!C88="","",'Equipment Combat'!C88)</f>
        <v>1</v>
      </c>
      <c r="V50" s="717" t="str">
        <f>IF('Equipment Combat'!C142="Stowed","["&amp;IF('Equipment Combat'!C249&lt;0.1,"",IF('Equipment Combat'!C249&lt;1,INT(10*'Equipment Combat'!C249)&amp;"L",INT('Equipment Combat'!C249)&amp;"B"))&amp;"]",IF('Equipment Combat'!C305&lt;0.1,"",IF('Equipment Combat'!C305&lt;1,INT(10*'Equipment Combat'!C305)&amp;"L",INT('Equipment Combat'!C305)&amp;"B")))</f>
        <v>1B</v>
      </c>
      <c r="W50" s="1332" t="str">
        <f>IF('Equipment Combat'!C48="","",'Equipment Combat'!C48&amp;" ("&amp;'Equipment Combat'!C155&amp;")")</f>
        <v/>
      </c>
      <c r="X50" s="1333"/>
      <c r="Y50" s="1335"/>
      <c r="Z50" s="1333"/>
      <c r="AA50" s="716" t="str">
        <f>IF('Equipment Combat'!C101="","",'Equipment Combat'!C101)</f>
        <v/>
      </c>
      <c r="AB50" s="717" t="str">
        <f>IF('Equipment Combat'!C155="Stowed","["&amp;IF('Equipment Combat'!C262&lt;0.1,"",IF('Equipment Combat'!C262&lt;1,INT(10*'Equipment Combat'!C262)&amp;"L",INT('Equipment Combat'!C262)&amp;"B"))&amp;"]",IF('Equipment Combat'!C318&lt;0.1,"",IF('Equipment Combat'!C318&lt;1,INT(10*'Equipment Combat'!C318)&amp;"L",INT('Equipment Combat'!C318)&amp;"B")))</f>
        <v/>
      </c>
      <c r="AC50" s="637"/>
    </row>
    <row r="51" spans="1:29" s="627" customFormat="1" ht="19.5" customHeight="1" x14ac:dyDescent="0.25">
      <c r="A51" s="656"/>
      <c r="B51" s="1332" t="str">
        <f>IF('Equipment Combat'!C10="","",'Equipment Combat'!C10&amp;" ("&amp;'Equipment Combat'!C117&amp;")")</f>
        <v>Flint and Steel (Stowed)</v>
      </c>
      <c r="C51" s="1333"/>
      <c r="D51" s="1333"/>
      <c r="E51" s="1334"/>
      <c r="F51" s="1335"/>
      <c r="G51" s="716">
        <f>IF('Equipment Combat'!C63="","",'Equipment Combat'!C63)</f>
        <v>1</v>
      </c>
      <c r="H51" s="717" t="str">
        <f>IF('Equipment Combat'!C117="Stowed","["&amp;IF('Equipment Combat'!C224&lt;0.1,"",IF('Equipment Combat'!C224&lt;1,INT(10*'Equipment Combat'!C224)&amp;"L",INT('Equipment Combat'!C224)&amp;"B"))&amp;"]",IF('Equipment Combat'!C280&lt;0.1,"",IF('Equipment Combat'!C280&lt;1,INT(10*'Equipment Combat'!C280)&amp;"L",INT('Equipment Combat'!C280)&amp;"B")))</f>
        <v>[]</v>
      </c>
      <c r="I51" s="1332" t="str">
        <f>IF('Equipment Combat'!C23="","",'Equipment Combat'!C23&amp;" ("&amp;'Equipment Combat'!C130&amp;")")</f>
        <v>Thieves' tools (Stowed)</v>
      </c>
      <c r="J51" s="1333"/>
      <c r="K51" s="1334"/>
      <c r="L51" s="1335"/>
      <c r="M51" s="1333"/>
      <c r="N51" s="716">
        <f>IF('Equipment Combat'!C76="","",'Equipment Combat'!C76)</f>
        <v>1</v>
      </c>
      <c r="O51" s="717" t="str">
        <f>IF('Equipment Combat'!C130="Stowed","["&amp;IF('Equipment Combat'!C237&lt;0.1,"",IF('Equipment Combat'!C237&lt;1,INT(10*'Equipment Combat'!C237)&amp;"L",INT('Equipment Combat'!C237)&amp;"B"))&amp;"]",IF('Equipment Combat'!C293&lt;0.1,"",IF('Equipment Combat'!C293&lt;1,INT(10*'Equipment Combat'!C293)&amp;"L",INT('Equipment Combat'!C293)&amp;"B")))</f>
        <v>[1L]</v>
      </c>
      <c r="P51" s="1332" t="str">
        <f>IF('Equipment Combat'!C36="","",'Equipment Combat'!C36&amp;" ("&amp;'Equipment Combat'!C143&amp;")")</f>
        <v>Swarmsuit (Worn)</v>
      </c>
      <c r="Q51" s="1333"/>
      <c r="R51" s="1334"/>
      <c r="S51" s="1335"/>
      <c r="T51" s="1333"/>
      <c r="U51" s="716">
        <f>IF('Equipment Combat'!C89="","",'Equipment Combat'!C89)</f>
        <v>1</v>
      </c>
      <c r="V51" s="717" t="str">
        <f>IF('Equipment Combat'!C143="Stowed","["&amp;IF('Equipment Combat'!C250&lt;0.1,"",IF('Equipment Combat'!C250&lt;1,INT(10*'Equipment Combat'!C250)&amp;"L",INT('Equipment Combat'!C250)&amp;"B"))&amp;"]",IF('Equipment Combat'!C306&lt;0.1,"",IF('Equipment Combat'!C306&lt;1,INT(10*'Equipment Combat'!C306)&amp;"L",INT('Equipment Combat'!C306)&amp;"B")))</f>
        <v/>
      </c>
      <c r="W51" s="1332" t="str">
        <f>IF('Equipment Combat'!C49="","",'Equipment Combat'!C49&amp;" ("&amp;'Equipment Combat'!C156&amp;")")</f>
        <v/>
      </c>
      <c r="X51" s="1333"/>
      <c r="Y51" s="1335"/>
      <c r="Z51" s="1333"/>
      <c r="AA51" s="716" t="str">
        <f>IF('Equipment Combat'!C102="","",'Equipment Combat'!C102)</f>
        <v/>
      </c>
      <c r="AB51" s="717" t="str">
        <f>IF('Equipment Combat'!C156="Stowed","["&amp;IF('Equipment Combat'!C263&lt;0.1,"",IF('Equipment Combat'!C263&lt;1,INT(10*'Equipment Combat'!C263)&amp;"L",INT('Equipment Combat'!C263)&amp;"B"))&amp;"]",IF('Equipment Combat'!C319&lt;0.1,"",IF('Equipment Combat'!C319&lt;1,INT(10*'Equipment Combat'!C319)&amp;"L",INT('Equipment Combat'!C319)&amp;"B")))</f>
        <v/>
      </c>
      <c r="AC51" s="637"/>
    </row>
    <row r="52" spans="1:29" s="627" customFormat="1" ht="19.5" customHeight="1" x14ac:dyDescent="0.25">
      <c r="A52" s="656"/>
      <c r="B52" s="1332" t="str">
        <f>IF('Equipment Combat'!C11="","",'Equipment Combat'!C11&amp;" ("&amp;'Equipment Combat'!C118&amp;")")</f>
        <v>Rations (day) (Stowed)</v>
      </c>
      <c r="C52" s="1333"/>
      <c r="D52" s="1333"/>
      <c r="E52" s="1334"/>
      <c r="F52" s="1335"/>
      <c r="G52" s="716">
        <f>IF('Equipment Combat'!C64="","",'Equipment Combat'!C64)</f>
        <v>28</v>
      </c>
      <c r="H52" s="717" t="str">
        <f>IF('Equipment Combat'!C118="Stowed","["&amp;IF('Equipment Combat'!C225&lt;0.1,"",IF('Equipment Combat'!C225&lt;1,INT(10*'Equipment Combat'!C225)&amp;"L",INT('Equipment Combat'!C225)&amp;"B"))&amp;"]",IF('Equipment Combat'!C281&lt;0.1,"",IF('Equipment Combat'!C281&lt;1,INT(10*'Equipment Combat'!C281)&amp;"L",INT('Equipment Combat'!C281)&amp;"B")))</f>
        <v>[4L]</v>
      </c>
      <c r="I52" s="1332" t="str">
        <f>IF('Equipment Combat'!C24="","",'Equipment Combat'!C24&amp;" ("&amp;'Equipment Combat'!C131&amp;")")</f>
        <v>Scroll of Magic Misile (L2) (Worn)</v>
      </c>
      <c r="J52" s="1333"/>
      <c r="K52" s="1334"/>
      <c r="L52" s="1335"/>
      <c r="M52" s="1333"/>
      <c r="N52" s="716">
        <f>IF('Equipment Combat'!C77="","",'Equipment Combat'!C77)</f>
        <v>1</v>
      </c>
      <c r="O52" s="717" t="str">
        <f>IF('Equipment Combat'!C131="Stowed","["&amp;IF('Equipment Combat'!C238&lt;0.1,"",IF('Equipment Combat'!C238&lt;1,INT(10*'Equipment Combat'!C238)&amp;"L",INT('Equipment Combat'!C238)&amp;"B"))&amp;"]",IF('Equipment Combat'!C294&lt;0.1,"",IF('Equipment Combat'!C294&lt;1,INT(10*'Equipment Combat'!C294)&amp;"L",INT('Equipment Combat'!C294)&amp;"B")))</f>
        <v>1L</v>
      </c>
      <c r="P52" s="1332" t="str">
        <f>IF('Equipment Combat'!C37="","",'Equipment Combat'!C37&amp;" ("&amp;'Equipment Combat'!C144&amp;")")</f>
        <v/>
      </c>
      <c r="Q52" s="1333"/>
      <c r="R52" s="1334"/>
      <c r="S52" s="1335"/>
      <c r="T52" s="1333"/>
      <c r="U52" s="716" t="str">
        <f>IF('Equipment Combat'!C90="","",'Equipment Combat'!C90)</f>
        <v/>
      </c>
      <c r="V52" s="717" t="str">
        <f>IF('Equipment Combat'!C144="Stowed","["&amp;IF('Equipment Combat'!C251&lt;0.1,"",IF('Equipment Combat'!C251&lt;1,INT(10*'Equipment Combat'!C251)&amp;"L",INT('Equipment Combat'!C251)&amp;"B"))&amp;"]",IF('Equipment Combat'!C307&lt;0.1,"",IF('Equipment Combat'!C307&lt;1,INT(10*'Equipment Combat'!C307)&amp;"L",INT('Equipment Combat'!C307)&amp;"B")))</f>
        <v/>
      </c>
      <c r="W52" s="1332" t="str">
        <f>IF('Equipment Combat'!C50="","",'Equipment Combat'!C50&amp;" ("&amp;'Equipment Combat'!C157&amp;")")</f>
        <v/>
      </c>
      <c r="X52" s="1333"/>
      <c r="Y52" s="1335"/>
      <c r="Z52" s="1333"/>
      <c r="AA52" s="716" t="str">
        <f>IF('Equipment Combat'!C103="","",'Equipment Combat'!C103)</f>
        <v/>
      </c>
      <c r="AB52" s="717" t="str">
        <f>IF('Equipment Combat'!C157="Stowed","["&amp;IF('Equipment Combat'!C264&lt;0.1,"",IF('Equipment Combat'!C264&lt;1,INT(10*'Equipment Combat'!C264)&amp;"L",INT('Equipment Combat'!C264)&amp;"B"))&amp;"]",IF('Equipment Combat'!C320&lt;0.1,"",IF('Equipment Combat'!C320&lt;1,INT(10*'Equipment Combat'!C320)&amp;"L",INT('Equipment Combat'!C320)&amp;"B")))</f>
        <v/>
      </c>
      <c r="AC52" s="637"/>
    </row>
    <row r="53" spans="1:29" s="627" customFormat="1" ht="19.5" customHeight="1" x14ac:dyDescent="0.25">
      <c r="A53" s="656"/>
      <c r="B53" s="1332" t="str">
        <f>IF('Equipment Combat'!C12="","",'Equipment Combat'!C12&amp;" ("&amp;'Equipment Combat'!C119&amp;")")</f>
        <v>Rope 50' (Stowed)</v>
      </c>
      <c r="C53" s="1333"/>
      <c r="D53" s="1333"/>
      <c r="E53" s="1334"/>
      <c r="F53" s="1335"/>
      <c r="G53" s="716">
        <f>IF('Equipment Combat'!C65="","",'Equipment Combat'!C65)</f>
        <v>1</v>
      </c>
      <c r="H53" s="717" t="str">
        <f>IF('Equipment Combat'!C119="Stowed","["&amp;IF('Equipment Combat'!C226&lt;0.1,"",IF('Equipment Combat'!C226&lt;1,INT(10*'Equipment Combat'!C226)&amp;"L",INT('Equipment Combat'!C226)&amp;"B"))&amp;"]",IF('Equipment Combat'!C282&lt;0.1,"",IF('Equipment Combat'!C282&lt;1,INT(10*'Equipment Combat'!C282)&amp;"L",INT('Equipment Combat'!C282)&amp;"B")))</f>
        <v>[1L]</v>
      </c>
      <c r="I53" s="1332" t="str">
        <f>IF('Equipment Combat'!C25="","",'Equipment Combat'!C25&amp;" ("&amp;'Equipment Combat'!C132&amp;")")</f>
        <v>Lesser Healing Potion (Worn)</v>
      </c>
      <c r="J53" s="1333"/>
      <c r="K53" s="1334"/>
      <c r="L53" s="1335"/>
      <c r="M53" s="1333"/>
      <c r="N53" s="716">
        <f>IF('Equipment Combat'!C78="","",'Equipment Combat'!C78)</f>
        <v>1</v>
      </c>
      <c r="O53" s="717" t="str">
        <f>IF('Equipment Combat'!C132="Stowed","["&amp;IF('Equipment Combat'!C239&lt;0.1,"",IF('Equipment Combat'!C239&lt;1,INT(10*'Equipment Combat'!C239)&amp;"L",INT('Equipment Combat'!C239)&amp;"B"))&amp;"]",IF('Equipment Combat'!C295&lt;0.1,"",IF('Equipment Combat'!C295&lt;1,INT(10*'Equipment Combat'!C295)&amp;"L",INT('Equipment Combat'!C295)&amp;"B")))</f>
        <v>1L</v>
      </c>
      <c r="P53" s="1332" t="str">
        <f>IF('Equipment Combat'!C38="","",'Equipment Combat'!C38&amp;" ("&amp;'Equipment Combat'!C145&amp;")")</f>
        <v/>
      </c>
      <c r="Q53" s="1333"/>
      <c r="R53" s="1334"/>
      <c r="S53" s="1335"/>
      <c r="T53" s="1333"/>
      <c r="U53" s="716" t="str">
        <f>IF('Equipment Combat'!C91="","",'Equipment Combat'!C91)</f>
        <v/>
      </c>
      <c r="V53" s="717" t="str">
        <f>IF('Equipment Combat'!C145="Stowed","["&amp;IF('Equipment Combat'!C252&lt;0.1,"",IF('Equipment Combat'!C252&lt;1,INT(10*'Equipment Combat'!C252)&amp;"L",INT('Equipment Combat'!C252)&amp;"B"))&amp;"]",IF('Equipment Combat'!C308&lt;0.1,"",IF('Equipment Combat'!C308&lt;1,INT(10*'Equipment Combat'!C308)&amp;"L",INT('Equipment Combat'!C308)&amp;"B")))</f>
        <v/>
      </c>
      <c r="W53" s="1332" t="str">
        <f>IF('Equipment Combat'!C51="","",'Equipment Combat'!C51&amp;" ("&amp;'Equipment Combat'!C158&amp;")")</f>
        <v/>
      </c>
      <c r="X53" s="1333"/>
      <c r="Y53" s="1335"/>
      <c r="Z53" s="1333"/>
      <c r="AA53" s="716" t="str">
        <f>IF('Equipment Combat'!C104="","",'Equipment Combat'!C104)</f>
        <v/>
      </c>
      <c r="AB53" s="717" t="str">
        <f>IF('Equipment Combat'!C158="Stowed","["&amp;IF('Equipment Combat'!C265&lt;0.1,"",IF('Equipment Combat'!C265&lt;1,INT(10*'Equipment Combat'!C265)&amp;"L",INT('Equipment Combat'!C265)&amp;"B"))&amp;"]",IF('Equipment Combat'!C321&lt;0.1,"",IF('Equipment Combat'!C321&lt;1,INT(10*'Equipment Combat'!C321)&amp;"L",INT('Equipment Combat'!C321)&amp;"B")))</f>
        <v/>
      </c>
      <c r="AC53" s="637"/>
    </row>
    <row r="54" spans="1:29" s="627" customFormat="1" ht="19.5" customHeight="1" x14ac:dyDescent="0.25">
      <c r="A54" s="656"/>
      <c r="B54" s="1332" t="str">
        <f>IF('Equipment Combat'!C13="","",'Equipment Combat'!C13&amp;" ("&amp;'Equipment Combat'!C120&amp;")")</f>
        <v>Soap (Stowed)</v>
      </c>
      <c r="C54" s="1333"/>
      <c r="D54" s="1333"/>
      <c r="E54" s="1334"/>
      <c r="F54" s="1335"/>
      <c r="G54" s="716">
        <f>IF('Equipment Combat'!C66="","",'Equipment Combat'!C66)</f>
        <v>1</v>
      </c>
      <c r="H54" s="717" t="str">
        <f>IF('Equipment Combat'!C120="Stowed","["&amp;IF('Equipment Combat'!C227&lt;0.1,"",IF('Equipment Combat'!C227&lt;1,INT(10*'Equipment Combat'!C227)&amp;"L",INT('Equipment Combat'!C227)&amp;"B"))&amp;"]",IF('Equipment Combat'!C283&lt;0.1,"",IF('Equipment Combat'!C283&lt;1,INT(10*'Equipment Combat'!C283)&amp;"L",INT('Equipment Combat'!C283)&amp;"B")))</f>
        <v>[]</v>
      </c>
      <c r="I54" s="1332" t="str">
        <f>IF('Equipment Combat'!C26="","",'Equipment Combat'!C26&amp;" ("&amp;'Equipment Combat'!C133&amp;")")</f>
        <v>Scroll of Acid Arrow (L2) (Worn)</v>
      </c>
      <c r="J54" s="1333"/>
      <c r="K54" s="1334"/>
      <c r="L54" s="1335"/>
      <c r="M54" s="1333"/>
      <c r="N54" s="716">
        <f>IF('Equipment Combat'!C79="","",'Equipment Combat'!C79)</f>
        <v>1</v>
      </c>
      <c r="O54" s="717" t="str">
        <f>IF('Equipment Combat'!C133="Stowed","["&amp;IF('Equipment Combat'!C240&lt;0.1,"",IF('Equipment Combat'!C240&lt;1,INT(10*'Equipment Combat'!C240)&amp;"L",INT('Equipment Combat'!C240)&amp;"B"))&amp;"]",IF('Equipment Combat'!C296&lt;0.1,"",IF('Equipment Combat'!C296&lt;1,INT(10*'Equipment Combat'!C296)&amp;"L",INT('Equipment Combat'!C296)&amp;"B")))</f>
        <v>1L</v>
      </c>
      <c r="P54" s="1332" t="str">
        <f>IF('Equipment Combat'!C39="","",'Equipment Combat'!C39&amp;" ("&amp;'Equipment Combat'!C146&amp;")")</f>
        <v/>
      </c>
      <c r="Q54" s="1333"/>
      <c r="R54" s="1334"/>
      <c r="S54" s="1335"/>
      <c r="T54" s="1333"/>
      <c r="U54" s="716" t="str">
        <f>IF('Equipment Combat'!C92="","",'Equipment Combat'!C92)</f>
        <v/>
      </c>
      <c r="V54" s="717" t="str">
        <f>IF('Equipment Combat'!C146="Stowed","["&amp;IF('Equipment Combat'!C253&lt;0.1,"",IF('Equipment Combat'!C253&lt;1,INT(10*'Equipment Combat'!C253)&amp;"L",INT('Equipment Combat'!C253)&amp;"B"))&amp;"]",IF('Equipment Combat'!C309&lt;0.1,"",IF('Equipment Combat'!C309&lt;1,INT(10*'Equipment Combat'!C309)&amp;"L",INT('Equipment Combat'!C309)&amp;"B")))</f>
        <v/>
      </c>
      <c r="W54" s="1332" t="str">
        <f>IF('Equipment Combat'!C52="","",'Equipment Combat'!C52&amp;" ("&amp;'Equipment Combat'!C159&amp;")")</f>
        <v/>
      </c>
      <c r="X54" s="1333"/>
      <c r="Y54" s="1335"/>
      <c r="Z54" s="1333"/>
      <c r="AA54" s="716" t="str">
        <f>IF('Equipment Combat'!C105="","",'Equipment Combat'!C105)</f>
        <v/>
      </c>
      <c r="AB54" s="717" t="str">
        <f>IF('Equipment Combat'!C159="Stowed","["&amp;IF('Equipment Combat'!C266&lt;0.1,"",IF('Equipment Combat'!C266&lt;1,INT(10*'Equipment Combat'!C266)&amp;"L",INT('Equipment Combat'!C266)&amp;"B"))&amp;"]",IF('Equipment Combat'!C322&lt;0.1,"",IF('Equipment Combat'!C322&lt;1,INT(10*'Equipment Combat'!C322)&amp;"L",INT('Equipment Combat'!C322)&amp;"B")))</f>
        <v/>
      </c>
      <c r="AC54" s="637"/>
    </row>
    <row r="55" spans="1:29" s="627" customFormat="1" ht="19.5" customHeight="1" x14ac:dyDescent="0.25">
      <c r="A55" s="656"/>
      <c r="B55" s="1332" t="str">
        <f>IF('Equipment Combat'!C14="","",'Equipment Combat'!C14&amp;" ("&amp;'Equipment Combat'!C121&amp;")")</f>
        <v>Torch (Stowed)</v>
      </c>
      <c r="C55" s="1333"/>
      <c r="D55" s="1333"/>
      <c r="E55" s="1334"/>
      <c r="F55" s="1335"/>
      <c r="G55" s="716">
        <f>IF('Equipment Combat'!C67="","",'Equipment Combat'!C67)</f>
        <v>5</v>
      </c>
      <c r="H55" s="717" t="str">
        <f>IF('Equipment Combat'!C121="Stowed","["&amp;IF('Equipment Combat'!C228&lt;0.1,"",IF('Equipment Combat'!C228&lt;1,INT(10*'Equipment Combat'!C228)&amp;"L",INT('Equipment Combat'!C228)&amp;"B"))&amp;"]",IF('Equipment Combat'!C284&lt;0.1,"",IF('Equipment Combat'!C284&lt;1,INT(10*'Equipment Combat'!C284)&amp;"L",INT('Equipment Combat'!C284)&amp;"B")))</f>
        <v>[5L]</v>
      </c>
      <c r="I55" s="1332" t="str">
        <f>IF('Equipment Combat'!C27="","",'Equipment Combat'!C27&amp;" ("&amp;'Equipment Combat'!C134&amp;")")</f>
        <v>Scroll of False Life (L2) (Worn)</v>
      </c>
      <c r="J55" s="1333"/>
      <c r="K55" s="1334"/>
      <c r="L55" s="1335"/>
      <c r="M55" s="1333"/>
      <c r="N55" s="716">
        <f>IF('Equipment Combat'!C80="","",'Equipment Combat'!C80)</f>
        <v>1</v>
      </c>
      <c r="O55" s="717" t="str">
        <f>IF('Equipment Combat'!C134="Stowed","["&amp;IF('Equipment Combat'!C241&lt;0.1,"",IF('Equipment Combat'!C241&lt;1,INT(10*'Equipment Combat'!C241)&amp;"L",INT('Equipment Combat'!C241)&amp;"B"))&amp;"]",IF('Equipment Combat'!C297&lt;0.1,"",IF('Equipment Combat'!C297&lt;1,INT(10*'Equipment Combat'!C297)&amp;"L",INT('Equipment Combat'!C297)&amp;"B")))</f>
        <v>1L</v>
      </c>
      <c r="P55" s="1332" t="str">
        <f>IF('Equipment Combat'!C40="","",'Equipment Combat'!C40&amp;" ("&amp;'Equipment Combat'!C147&amp;")")</f>
        <v/>
      </c>
      <c r="Q55" s="1333"/>
      <c r="R55" s="1334"/>
      <c r="S55" s="1335"/>
      <c r="T55" s="1333"/>
      <c r="U55" s="716" t="str">
        <f>IF('Equipment Combat'!C93="","",'Equipment Combat'!C93)</f>
        <v/>
      </c>
      <c r="V55" s="717" t="str">
        <f>IF('Equipment Combat'!C147="Stowed","["&amp;IF('Equipment Combat'!C254&lt;0.1,"",IF('Equipment Combat'!C254&lt;1,INT(10*'Equipment Combat'!C254)&amp;"L",INT('Equipment Combat'!C254)&amp;"B"))&amp;"]",IF('Equipment Combat'!C310&lt;0.1,"",IF('Equipment Combat'!C310&lt;1,INT(10*'Equipment Combat'!C310)&amp;"L",INT('Equipment Combat'!C310)&amp;"B")))</f>
        <v/>
      </c>
      <c r="W55" s="1332" t="str">
        <f>IF('Equipment Combat'!C53="","",'Equipment Combat'!C53&amp;" ("&amp;'Equipment Combat'!C160&amp;")")</f>
        <v/>
      </c>
      <c r="X55" s="1333"/>
      <c r="Y55" s="1335"/>
      <c r="Z55" s="1333"/>
      <c r="AA55" s="716" t="str">
        <f>IF('Equipment Combat'!C106="","",'Equipment Combat'!C106)</f>
        <v/>
      </c>
      <c r="AB55" s="717" t="str">
        <f>IF('Equipment Combat'!C160="Stowed","["&amp;IF('Equipment Combat'!C267&lt;0.1,"",IF('Equipment Combat'!C267&lt;1,INT(10*'Equipment Combat'!C267)&amp;"L",INT('Equipment Combat'!C267)&amp;"B"))&amp;"]",IF('Equipment Combat'!C323&lt;0.1,"",IF('Equipment Combat'!C323&lt;1,INT(10*'Equipment Combat'!C323)&amp;"L",INT('Equipment Combat'!C323)&amp;"B")))</f>
        <v/>
      </c>
      <c r="AC55" s="637"/>
    </row>
    <row r="56" spans="1:29" s="627" customFormat="1" ht="19.5" customHeight="1" x14ac:dyDescent="0.25">
      <c r="A56" s="656"/>
      <c r="B56" s="1332" t="str">
        <f>IF('Equipment Combat'!C15="","",'Equipment Combat'!C15&amp;" ("&amp;'Equipment Combat'!C122&amp;")")</f>
        <v>Waterskin (Stowed)</v>
      </c>
      <c r="C56" s="1333"/>
      <c r="D56" s="1333"/>
      <c r="E56" s="1334"/>
      <c r="F56" s="1335"/>
      <c r="G56" s="716">
        <f>IF('Equipment Combat'!C68="","",'Equipment Combat'!C68)</f>
        <v>1</v>
      </c>
      <c r="H56" s="717" t="str">
        <f>IF('Equipment Combat'!C122="Stowed","["&amp;IF('Equipment Combat'!C229&lt;0.1,"",IF('Equipment Combat'!C229&lt;1,INT(10*'Equipment Combat'!C229)&amp;"L",INT('Equipment Combat'!C229)&amp;"B"))&amp;"]",IF('Equipment Combat'!C285&lt;0.1,"",IF('Equipment Combat'!C285&lt;1,INT(10*'Equipment Combat'!C285)&amp;"L",INT('Equipment Combat'!C285)&amp;"B")))</f>
        <v>[1L]</v>
      </c>
      <c r="I56" s="1332" t="str">
        <f>IF('Equipment Combat'!C28="","",'Equipment Combat'!C28&amp;" ("&amp;'Equipment Combat'!C135&amp;")")</f>
        <v>Scroll of Obscuring Mist (L2) (Worn)</v>
      </c>
      <c r="J56" s="1333"/>
      <c r="K56" s="1334"/>
      <c r="L56" s="1335"/>
      <c r="M56" s="1333"/>
      <c r="N56" s="716">
        <f>IF('Equipment Combat'!C81="","",'Equipment Combat'!C81)</f>
        <v>1</v>
      </c>
      <c r="O56" s="717" t="str">
        <f>IF('Equipment Combat'!C135="Stowed","["&amp;IF('Equipment Combat'!C242&lt;0.1,"",IF('Equipment Combat'!C242&lt;1,INT(10*'Equipment Combat'!C242)&amp;"L",INT('Equipment Combat'!C242)&amp;"B"))&amp;"]",IF('Equipment Combat'!C298&lt;0.1,"",IF('Equipment Combat'!C298&lt;1,INT(10*'Equipment Combat'!C298)&amp;"L",INT('Equipment Combat'!C298)&amp;"B")))</f>
        <v>1L</v>
      </c>
      <c r="P56" s="1332" t="str">
        <f>IF('Equipment Combat'!C41="","",'Equipment Combat'!C41&amp;" ("&amp;'Equipment Combat'!C148&amp;")")</f>
        <v/>
      </c>
      <c r="Q56" s="1333"/>
      <c r="R56" s="1334"/>
      <c r="S56" s="1335"/>
      <c r="T56" s="1333"/>
      <c r="U56" s="716" t="str">
        <f>IF('Equipment Combat'!C94="","",'Equipment Combat'!C94)</f>
        <v/>
      </c>
      <c r="V56" s="717" t="str">
        <f>IF('Equipment Combat'!C148="Stowed","["&amp;IF('Equipment Combat'!C255&lt;0.1,"",IF('Equipment Combat'!C255&lt;1,INT(10*'Equipment Combat'!C255)&amp;"L",INT('Equipment Combat'!C255)&amp;"B"))&amp;"]",IF('Equipment Combat'!C311&lt;0.1,"",IF('Equipment Combat'!C311&lt;1,INT(10*'Equipment Combat'!C311)&amp;"L",INT('Equipment Combat'!C311)&amp;"B")))</f>
        <v/>
      </c>
      <c r="W56" s="1332" t="str">
        <f>IF('Equipment Combat'!C54="","",'Equipment Combat'!C54&amp;" ("&amp;'Equipment Combat'!C161&amp;")")</f>
        <v/>
      </c>
      <c r="X56" s="1333"/>
      <c r="Y56" s="1335"/>
      <c r="Z56" s="1333"/>
      <c r="AA56" s="716" t="str">
        <f>IF('Equipment Combat'!C107="","",'Equipment Combat'!C107)</f>
        <v/>
      </c>
      <c r="AB56" s="717" t="str">
        <f>IF('Equipment Combat'!C161="Stowed","["&amp;IF('Equipment Combat'!C268&lt;0.1,"",IF('Equipment Combat'!C268&lt;1,INT(10*'Equipment Combat'!C268)&amp;"L",INT('Equipment Combat'!C268)&amp;"B"))&amp;"]",IF('Equipment Combat'!C324&lt;0.1,"",IF('Equipment Combat'!C324&lt;1,INT(10*'Equipment Combat'!C324)&amp;"L",INT('Equipment Combat'!C324)&amp;"B")))</f>
        <v/>
      </c>
      <c r="AC56" s="637"/>
    </row>
    <row r="57" spans="1:29" s="627" customFormat="1" ht="19.5" customHeight="1" x14ac:dyDescent="0.25">
      <c r="A57" s="656"/>
      <c r="B57" s="1332" t="str">
        <f>IF('Equipment Combat'!C16="","",'Equipment Combat'!C16&amp;" ("&amp;'Equipment Combat'!C123&amp;")")</f>
        <v>+1 Staff (1d4 / 1d8 2H) (Held)</v>
      </c>
      <c r="C57" s="1333"/>
      <c r="D57" s="1333"/>
      <c r="E57" s="1334"/>
      <c r="F57" s="1335"/>
      <c r="G57" s="716">
        <f>IF('Equipment Combat'!C69="","",'Equipment Combat'!C69)</f>
        <v>1</v>
      </c>
      <c r="H57" s="717" t="str">
        <f>IF('Equipment Combat'!C123="Stowed","["&amp;IF('Equipment Combat'!C230&lt;0.1,"",IF('Equipment Combat'!C230&lt;1,INT(10*'Equipment Combat'!C230)&amp;"L",INT('Equipment Combat'!C230)&amp;"B"))&amp;"]",IF('Equipment Combat'!C286&lt;0.1,"",IF('Equipment Combat'!C286&lt;1,INT(10*'Equipment Combat'!C286)&amp;"L",INT('Equipment Combat'!C286)&amp;"B")))</f>
        <v>1B</v>
      </c>
      <c r="I57" s="1332" t="str">
        <f>IF('Equipment Combat'!C29="","",'Equipment Combat'!C29&amp;" ("&amp;'Equipment Combat'!C136&amp;")")</f>
        <v>Scroll of Touch of Idiocy (L2) (Worn)</v>
      </c>
      <c r="J57" s="1333"/>
      <c r="K57" s="1334"/>
      <c r="L57" s="1335"/>
      <c r="M57" s="1333"/>
      <c r="N57" s="716">
        <f>IF('Equipment Combat'!C82="","",'Equipment Combat'!C82)</f>
        <v>1</v>
      </c>
      <c r="O57" s="717" t="str">
        <f>IF('Equipment Combat'!C136="Stowed","["&amp;IF('Equipment Combat'!C243&lt;0.1,"",IF('Equipment Combat'!C243&lt;1,INT(10*'Equipment Combat'!C243)&amp;"L",INT('Equipment Combat'!C243)&amp;"B"))&amp;"]",IF('Equipment Combat'!C299&lt;0.1,"",IF('Equipment Combat'!C299&lt;1,INT(10*'Equipment Combat'!C299)&amp;"L",INT('Equipment Combat'!C299)&amp;"B")))</f>
        <v>1L</v>
      </c>
      <c r="P57" s="1332" t="str">
        <f>IF('Equipment Combat'!C42="","",'Equipment Combat'!C42&amp;" ("&amp;'Equipment Combat'!C149&amp;")")</f>
        <v/>
      </c>
      <c r="Q57" s="1333"/>
      <c r="R57" s="1334"/>
      <c r="S57" s="1335"/>
      <c r="T57" s="1333"/>
      <c r="U57" s="716" t="str">
        <f>IF('Equipment Combat'!C95="","",'Equipment Combat'!C95)</f>
        <v/>
      </c>
      <c r="V57" s="717" t="str">
        <f>IF('Equipment Combat'!C149="Stowed","["&amp;IF('Equipment Combat'!C256&lt;0.1,"",IF('Equipment Combat'!C256&lt;1,INT(10*'Equipment Combat'!C256)&amp;"L",INT('Equipment Combat'!C256)&amp;"B"))&amp;"]",IF('Equipment Combat'!C312&lt;0.1,"",IF('Equipment Combat'!C312&lt;1,INT(10*'Equipment Combat'!C312)&amp;"L",INT('Equipment Combat'!C312)&amp;"B")))</f>
        <v/>
      </c>
      <c r="W57" s="1332" t="str">
        <f>IF('Equipment Combat'!C55="","",'Equipment Combat'!C55&amp;" ("&amp;'Equipment Combat'!C162&amp;")")</f>
        <v/>
      </c>
      <c r="X57" s="1333"/>
      <c r="Y57" s="1335"/>
      <c r="Z57" s="1333"/>
      <c r="AA57" s="716" t="str">
        <f>IF('Equipment Combat'!C108="","",'Equipment Combat'!C108)</f>
        <v/>
      </c>
      <c r="AB57" s="717" t="str">
        <f>IF('Equipment Combat'!C162="Stowed","["&amp;IF('Equipment Combat'!C269&lt;0.1,"",IF('Equipment Combat'!C269&lt;1,INT(10*'Equipment Combat'!C269)&amp;"L",INT('Equipment Combat'!C269)&amp;"B"))&amp;"]",IF('Equipment Combat'!C325&lt;0.1,"",IF('Equipment Combat'!C325&lt;1,INT(10*'Equipment Combat'!C325)&amp;"L",INT('Equipment Combat'!C325)&amp;"B")))</f>
        <v/>
      </c>
      <c r="AC57" s="637"/>
    </row>
    <row r="58" spans="1:29" s="627" customFormat="1" ht="19.5" customHeight="1" x14ac:dyDescent="0.25">
      <c r="A58" s="656"/>
      <c r="B58" s="1332" t="str">
        <f>IF('Equipment Combat'!C17="","",'Equipment Combat'!C17&amp;" ("&amp;'Equipment Combat'!C124&amp;")")</f>
        <v>Crossbow (2H Reload1) (Worn)</v>
      </c>
      <c r="C58" s="1333"/>
      <c r="D58" s="1333"/>
      <c r="E58" s="1333"/>
      <c r="F58" s="1335"/>
      <c r="G58" s="716">
        <f>IF('Equipment Combat'!C70="","",'Equipment Combat'!C70)</f>
        <v>1</v>
      </c>
      <c r="H58" s="717" t="str">
        <f>IF('Equipment Combat'!C124="Stowed","["&amp;IF('Equipment Combat'!C231&lt;0.1,"",IF('Equipment Combat'!C231&lt;1,INT(10*'Equipment Combat'!C231)&amp;"L",INT('Equipment Combat'!C231)&amp;"B"))&amp;"]",IF('Equipment Combat'!C287&lt;0.1,"",IF('Equipment Combat'!C287&lt;1,INT(10*'Equipment Combat'!C287)&amp;"L",INT('Equipment Combat'!C287)&amp;"B")))</f>
        <v>1B</v>
      </c>
      <c r="I58" s="1332" t="str">
        <f>IF('Equipment Combat'!C30="","",'Equipment Combat'!C30&amp;" ("&amp;'Equipment Combat'!C137&amp;")")</f>
        <v>Staff (1d4 / 1d8 2H) (Stowed)</v>
      </c>
      <c r="J58" s="1333"/>
      <c r="K58" s="1333"/>
      <c r="L58" s="1335"/>
      <c r="M58" s="1333"/>
      <c r="N58" s="716">
        <f>IF('Equipment Combat'!C83="","",'Equipment Combat'!C83)</f>
        <v>1</v>
      </c>
      <c r="O58" s="717" t="str">
        <f>IF('Equipment Combat'!C137="Stowed","["&amp;IF('Equipment Combat'!C244&lt;0.1,"",IF('Equipment Combat'!C244&lt;1,INT(10*'Equipment Combat'!C244)&amp;"L",INT('Equipment Combat'!C244)&amp;"B"))&amp;"]",IF('Equipment Combat'!C300&lt;0.1,"",IF('Equipment Combat'!C300&lt;1,INT(10*'Equipment Combat'!C300)&amp;"L",INT('Equipment Combat'!C300)&amp;"B")))</f>
        <v>[1B]</v>
      </c>
      <c r="P58" s="1332" t="str">
        <f>IF('Equipment Combat'!C43="","",'Equipment Combat'!C43&amp;" ("&amp;'Equipment Combat'!C150&amp;")")</f>
        <v/>
      </c>
      <c r="Q58" s="1333"/>
      <c r="R58" s="1333"/>
      <c r="S58" s="1335"/>
      <c r="T58" s="1333"/>
      <c r="U58" s="716" t="str">
        <f>IF('Equipment Combat'!C96="","",'Equipment Combat'!C96)</f>
        <v/>
      </c>
      <c r="V58" s="717" t="str">
        <f>IF('Equipment Combat'!C150="Stowed","["&amp;IF('Equipment Combat'!C257&lt;0.1,"",IF('Equipment Combat'!C257&lt;1,INT(10*'Equipment Combat'!C257)&amp;"L",INT('Equipment Combat'!C257)&amp;"B"))&amp;"]",IF('Equipment Combat'!C313&lt;0.1,"",IF('Equipment Combat'!C313&lt;1,INT(10*'Equipment Combat'!C313)&amp;"L",INT('Equipment Combat'!C313)&amp;"B")))</f>
        <v/>
      </c>
      <c r="W58" s="1332" t="str">
        <f>IF('Equipment Combat'!C56="","",'Equipment Combat'!C56&amp;" ("&amp;'Equipment Combat'!C163&amp;")")</f>
        <v/>
      </c>
      <c r="X58" s="1333"/>
      <c r="Y58" s="1335"/>
      <c r="Z58" s="1333"/>
      <c r="AA58" s="716" t="str">
        <f>IF('Equipment Combat'!C109="","",'Equipment Combat'!C109)</f>
        <v/>
      </c>
      <c r="AB58" s="717" t="str">
        <f>IF('Equipment Combat'!C163="Stowed","["&amp;IF('Equipment Combat'!C270&lt;0.1,"",IF('Equipment Combat'!C270&lt;1,INT(10*'Equipment Combat'!C270)&amp;"L",INT('Equipment Combat'!C270)&amp;"B"))&amp;"]",IF('Equipment Combat'!C326&lt;0.1,"",IF('Equipment Combat'!C326&lt;1,INT(10*'Equipment Combat'!C326)&amp;"L",INT('Equipment Combat'!C326)&amp;"B")))</f>
        <v/>
      </c>
      <c r="AC58" s="637"/>
    </row>
    <row r="59" spans="1:29" s="627" customFormat="1" ht="19.5" customHeight="1" x14ac:dyDescent="0.25">
      <c r="A59" s="656"/>
      <c r="B59" s="1332" t="str">
        <f>IF('Equipment Combat'!C18="","",'Equipment Combat'!C18&amp;" ("&amp;'Equipment Combat'!C125&amp;")")</f>
        <v>Bolt (1d8) (Worn)</v>
      </c>
      <c r="C59" s="1333"/>
      <c r="D59" s="1333"/>
      <c r="E59" s="1333"/>
      <c r="F59" s="1335"/>
      <c r="G59" s="716">
        <f>IF('Equipment Combat'!C71="","",'Equipment Combat'!C71)</f>
        <v>18</v>
      </c>
      <c r="H59" s="717" t="str">
        <f>IF('Equipment Combat'!C125="Stowed","["&amp;IF('Equipment Combat'!C232&lt;0.1,"",IF('Equipment Combat'!C232&lt;1,INT(10*'Equipment Combat'!C232)&amp;"L",INT('Equipment Combat'!C232)&amp;"B"))&amp;"]",IF('Equipment Combat'!C288&lt;0.1,"",IF('Equipment Combat'!C288&lt;1,INT(10*'Equipment Combat'!C288)&amp;"L",INT('Equipment Combat'!C288)&amp;"B")))</f>
        <v>1L</v>
      </c>
      <c r="I59" s="1332" t="str">
        <f>IF('Equipment Combat'!C31="","",'Equipment Combat'!C31&amp;" ("&amp;'Equipment Combat'!C138&amp;")")</f>
        <v>Silk Pyjama (25 gp) (Stowed)</v>
      </c>
      <c r="J59" s="1333"/>
      <c r="K59" s="1333"/>
      <c r="L59" s="1335"/>
      <c r="M59" s="1333"/>
      <c r="N59" s="716">
        <f>IF('Equipment Combat'!C84="","",'Equipment Combat'!C84)</f>
        <v>1</v>
      </c>
      <c r="O59" s="717" t="str">
        <f>IF('Equipment Combat'!C138="Stowed","["&amp;IF('Equipment Combat'!C245&lt;0.1,"",IF('Equipment Combat'!C245&lt;1,INT(10*'Equipment Combat'!C245)&amp;"L",INT('Equipment Combat'!C245)&amp;"B"))&amp;"]",IF('Equipment Combat'!C301&lt;0.1,"",IF('Equipment Combat'!C301&lt;1,INT(10*'Equipment Combat'!C301)&amp;"L",INT('Equipment Combat'!C301)&amp;"B")))</f>
        <v>[1L]</v>
      </c>
      <c r="P59" s="1332" t="str">
        <f>IF('Equipment Combat'!C44="","",'Equipment Combat'!C44&amp;" ("&amp;'Equipment Combat'!C151&amp;")")</f>
        <v/>
      </c>
      <c r="Q59" s="1333"/>
      <c r="R59" s="1333"/>
      <c r="S59" s="1335"/>
      <c r="T59" s="1333"/>
      <c r="U59" s="716" t="str">
        <f>IF('Equipment Combat'!C97="","",'Equipment Combat'!C97)</f>
        <v/>
      </c>
      <c r="V59" s="717" t="str">
        <f>IF('Equipment Combat'!C151="Stowed","["&amp;IF('Equipment Combat'!C258&lt;0.1,"",IF('Equipment Combat'!C258&lt;1,INT(10*'Equipment Combat'!C258)&amp;"L",INT('Equipment Combat'!C258)&amp;"B"))&amp;"]",IF('Equipment Combat'!C314&lt;0.1,"",IF('Equipment Combat'!C314&lt;1,INT(10*'Equipment Combat'!C314)&amp;"L",INT('Equipment Combat'!C314)&amp;"B")))</f>
        <v/>
      </c>
      <c r="W59" s="1332" t="str">
        <f>IF('Equipment Combat'!C57="","",'Equipment Combat'!C57&amp;" ("&amp;'Equipment Combat'!C164&amp;")")</f>
        <v/>
      </c>
      <c r="X59" s="1333"/>
      <c r="Y59" s="1335"/>
      <c r="Z59" s="1333"/>
      <c r="AA59" s="716" t="str">
        <f>IF('Equipment Combat'!C110="","",'Equipment Combat'!C110)</f>
        <v/>
      </c>
      <c r="AB59" s="717" t="str">
        <f>IF('Equipment Combat'!C164="Stowed","["&amp;IF('Equipment Combat'!C271&lt;0.1,"",IF('Equipment Combat'!C271&lt;1,INT(10*'Equipment Combat'!C271)&amp;"L",INT('Equipment Combat'!C271)&amp;"B"))&amp;"]",IF('Equipment Combat'!C327&lt;0.1,"",IF('Equipment Combat'!C327&lt;1,INT(10*'Equipment Combat'!C327)&amp;"L",INT('Equipment Combat'!C327)&amp;"B")))</f>
        <v/>
      </c>
      <c r="AC59" s="637"/>
    </row>
    <row r="60" spans="1:29" s="627" customFormat="1" ht="19.5" customHeight="1" x14ac:dyDescent="0.25">
      <c r="A60" s="656"/>
      <c r="B60" s="1336" t="str">
        <f>IF('Equipment Combat'!C19="","",'Equipment Combat'!C19&amp;" ("&amp;'Equipment Combat'!C126&amp;")")</f>
        <v>Material component pouch (Worn)</v>
      </c>
      <c r="C60" s="1337"/>
      <c r="D60" s="1337"/>
      <c r="E60" s="1337"/>
      <c r="F60" s="1338"/>
      <c r="G60" s="915">
        <f>IF('Equipment Combat'!C72="","",'Equipment Combat'!C72)</f>
        <v>1</v>
      </c>
      <c r="H60" s="916" t="str">
        <f>IF('Equipment Combat'!C126="Stowed","["&amp;IF('Equipment Combat'!C233&lt;0.1,"",IF('Equipment Combat'!C233&lt;1,INT(10*'Equipment Combat'!C233)&amp;"L",INT('Equipment Combat'!C233)&amp;"B"))&amp;"]",IF('Equipment Combat'!C289&lt;0.1,"",IF('Equipment Combat'!C289&lt;1,INT(10*'Equipment Combat'!C289)&amp;"L",INT('Equipment Combat'!C289)&amp;"B")))</f>
        <v>1L</v>
      </c>
      <c r="I60" s="1336" t="str">
        <f>IF('Equipment Combat'!C32="","",'Equipment Combat'!C32&amp;" ("&amp;'Equipment Combat'!C139&amp;")")</f>
        <v>Spores of Gloomglow Mushrooms (Worn)</v>
      </c>
      <c r="J60" s="1337"/>
      <c r="K60" s="1337"/>
      <c r="L60" s="1338"/>
      <c r="M60" s="1337"/>
      <c r="N60" s="915">
        <f>IF('Equipment Combat'!C85="","",'Equipment Combat'!C85)</f>
        <v>5</v>
      </c>
      <c r="O60" s="916" t="str">
        <f>IF('Equipment Combat'!C139="Stowed","["&amp;IF('Equipment Combat'!C246&lt;0.1,"",IF('Equipment Combat'!C246&lt;1,INT(10*'Equipment Combat'!C246)&amp;"L",INT('Equipment Combat'!C246)&amp;"B"))&amp;"]",IF('Equipment Combat'!C302&lt;0.1,"",IF('Equipment Combat'!C302&lt;1,INT(10*'Equipment Combat'!C302)&amp;"L",INT('Equipment Combat'!C302)&amp;"B")))</f>
        <v/>
      </c>
      <c r="P60" s="1336" t="str">
        <f>IF('Equipment Combat'!C45="","",'Equipment Combat'!C45&amp;" ("&amp;'Equipment Combat'!C152&amp;")")</f>
        <v/>
      </c>
      <c r="Q60" s="1337"/>
      <c r="R60" s="1337"/>
      <c r="S60" s="1338"/>
      <c r="T60" s="1337"/>
      <c r="U60" s="915" t="str">
        <f>IF('Equipment Combat'!C98="","",'Equipment Combat'!C98)</f>
        <v/>
      </c>
      <c r="V60" s="916" t="str">
        <f>IF('Equipment Combat'!C152="Stowed","["&amp;IF('Equipment Combat'!C259&lt;0.1,"",IF('Equipment Combat'!C259&lt;1,INT(10*'Equipment Combat'!C259)&amp;"L",INT('Equipment Combat'!C259)&amp;"B"))&amp;"]",IF('Equipment Combat'!C315&lt;0.1,"",IF('Equipment Combat'!C315&lt;1,INT(10*'Equipment Combat'!C315)&amp;"L",INT('Equipment Combat'!C315)&amp;"B")))</f>
        <v/>
      </c>
      <c r="W60" s="1336" t="str">
        <f>IF('Equipment Combat'!C58="","",'Equipment Combat'!C58&amp;" ("&amp;'Equipment Combat'!C165&amp;")")</f>
        <v/>
      </c>
      <c r="X60" s="1337"/>
      <c r="Y60" s="1338"/>
      <c r="Z60" s="1337"/>
      <c r="AA60" s="915" t="str">
        <f>IF('Equipment Combat'!C111="","",'Equipment Combat'!C111)</f>
        <v/>
      </c>
      <c r="AB60" s="916" t="str">
        <f>IF('Equipment Combat'!C165="Stowed","["&amp;IF('Equipment Combat'!C272&lt;0.1,"",IF('Equipment Combat'!C272&lt;1,INT(10*'Equipment Combat'!C272)&amp;"L",INT('Equipment Combat'!C272)&amp;"B"))&amp;"]",IF('Equipment Combat'!C328&lt;0.1,"",IF('Equipment Combat'!C328&lt;1,INT(10*'Equipment Combat'!C328)&amp;"L",INT('Equipment Combat'!C328)&amp;"B")))</f>
        <v/>
      </c>
      <c r="AC60" s="637"/>
    </row>
    <row r="61" spans="1:29" s="627" customFormat="1"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s="627" customFormat="1" ht="19.5" customHeight="1" x14ac:dyDescent="0.3">
      <c r="A62" s="656"/>
      <c r="B62" s="718">
        <f>'Equipment Combat'!C3</f>
        <v>0</v>
      </c>
      <c r="C62" s="719">
        <f>'Equipment Combat'!C4</f>
        <v>23</v>
      </c>
      <c r="D62" s="719">
        <f>'Equipment Combat'!C5</f>
        <v>86</v>
      </c>
      <c r="E62" s="720">
        <f>'Equipment Combat'!C6</f>
        <v>1</v>
      </c>
      <c r="F62" s="948"/>
      <c r="G62" s="772">
        <f>'Equipment Combat'!C329</f>
        <v>4</v>
      </c>
      <c r="H62" s="454"/>
      <c r="I62" s="451">
        <f>5+K62</f>
        <v>5</v>
      </c>
      <c r="J62" s="453" t="s">
        <v>512</v>
      </c>
      <c r="K62" s="452">
        <f>'Equipment Combat'!C331</f>
        <v>0</v>
      </c>
      <c r="L62" s="454"/>
      <c r="M62" s="451">
        <f>10+O62</f>
        <v>10</v>
      </c>
      <c r="N62" s="453" t="s">
        <v>513</v>
      </c>
      <c r="O62" s="452">
        <f>K62</f>
        <v>0</v>
      </c>
      <c r="P62" s="454"/>
      <c r="Q62" s="644" t="s">
        <v>505</v>
      </c>
      <c r="R62" s="1544" t="str">
        <f>'Equipment Combat'!C333</f>
        <v>Fine</v>
      </c>
      <c r="S62" s="1545"/>
      <c r="T62" s="1545"/>
      <c r="U62" s="1545"/>
      <c r="V62" s="1545"/>
      <c r="W62" s="1546"/>
      <c r="X62" s="1544" t="str">
        <f>'Equipment Combat'!C274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IF(Feats!C5="","",Feats!C5)</f>
        <v>Forlorn</v>
      </c>
      <c r="C65" s="1411"/>
      <c r="D65" s="1411"/>
      <c r="E65" s="1411"/>
      <c r="F65" s="1411"/>
      <c r="G65" s="1411"/>
      <c r="H65" s="1411"/>
      <c r="I65" s="1411"/>
      <c r="J65" s="1411" t="str">
        <f>IF(Feats!C5="","",Feats!M5)</f>
        <v>Ancestry feat</v>
      </c>
      <c r="K65" s="1411"/>
      <c r="L65" s="1411"/>
      <c r="M65" s="1411"/>
      <c r="N65" s="1412">
        <f>IF(Feats!C5="","",Feats!L5)</f>
        <v>1</v>
      </c>
      <c r="O65" s="1413"/>
      <c r="P65" s="1410" t="str">
        <f>IF(Feats!C29="","",Feats!C29)</f>
        <v>Conceal Spell</v>
      </c>
      <c r="Q65" s="1411"/>
      <c r="R65" s="1411"/>
      <c r="S65" s="1411"/>
      <c r="T65" s="1411"/>
      <c r="U65" s="1411"/>
      <c r="V65" s="1411"/>
      <c r="W65" s="1411"/>
      <c r="X65" s="1411" t="str">
        <f>IF(Feats!C29="","",Feats!M29)</f>
        <v>Class feat</v>
      </c>
      <c r="Y65" s="1411"/>
      <c r="Z65" s="1411"/>
      <c r="AA65" s="1411"/>
      <c r="AB65" s="1412">
        <f>IF(Feats!C29="","",Feats!L29)</f>
        <v>4</v>
      </c>
      <c r="AC65" s="637"/>
    </row>
    <row r="66" spans="1:29" ht="19.5" customHeight="1" x14ac:dyDescent="0.25">
      <c r="A66" s="656"/>
      <c r="B66" s="1414" t="str">
        <f>IF(Feats!C6="","",Feats!C6)</f>
        <v>Low-light vision</v>
      </c>
      <c r="C66" s="1415"/>
      <c r="D66" s="1415"/>
      <c r="E66" s="1415"/>
      <c r="F66" s="1415"/>
      <c r="G66" s="1415"/>
      <c r="H66" s="1415"/>
      <c r="I66" s="1415"/>
      <c r="J66" s="1415" t="str">
        <f>IF(Feats!C6="","",Feats!M6)</f>
        <v>Ancestry vision</v>
      </c>
      <c r="K66" s="1415"/>
      <c r="L66" s="1415"/>
      <c r="M66" s="1415"/>
      <c r="N66" s="1416">
        <f>IF(Feats!C6="","",Feats!L6)</f>
        <v>1</v>
      </c>
      <c r="O66" s="1413"/>
      <c r="P66" s="1414" t="str">
        <f>IF(Feats!C30="","",Feats!C30)</f>
        <v/>
      </c>
      <c r="Q66" s="1415"/>
      <c r="R66" s="1415"/>
      <c r="S66" s="1415"/>
      <c r="T66" s="1415"/>
      <c r="U66" s="1415"/>
      <c r="V66" s="1415"/>
      <c r="W66" s="1415"/>
      <c r="X66" s="1415" t="str">
        <f>IF(Feats!C30="","",Feats!M30)</f>
        <v/>
      </c>
      <c r="Y66" s="1415"/>
      <c r="Z66" s="1415"/>
      <c r="AA66" s="1415"/>
      <c r="AB66" s="1416" t="str">
        <f>IF(Feats!C30="","",Feats!L30)</f>
        <v/>
      </c>
      <c r="AC66" s="637"/>
    </row>
    <row r="67" spans="1:29" ht="19.5" customHeight="1" x14ac:dyDescent="0.25">
      <c r="A67" s="656"/>
      <c r="B67" s="1414" t="str">
        <f>IF(Feats!C7="","",Feats!C7)</f>
        <v>Lie to Me</v>
      </c>
      <c r="C67" s="1415"/>
      <c r="D67" s="1415"/>
      <c r="E67" s="1415"/>
      <c r="F67" s="1415"/>
      <c r="G67" s="1415"/>
      <c r="H67" s="1415"/>
      <c r="I67" s="1415"/>
      <c r="J67" s="1415" t="str">
        <f>IF(Feats!C7="","",Feats!M7)</f>
        <v>Background Skill feat</v>
      </c>
      <c r="K67" s="1415"/>
      <c r="L67" s="1415"/>
      <c r="M67" s="1415"/>
      <c r="N67" s="1416">
        <f>IF(Feats!C7="","",Feats!L7)</f>
        <v>1</v>
      </c>
      <c r="O67" s="1413"/>
      <c r="P67" s="1414" t="str">
        <f>IF(Feats!C31="","",Feats!C31)</f>
        <v>3rd level spells</v>
      </c>
      <c r="Q67" s="1415"/>
      <c r="R67" s="1415"/>
      <c r="S67" s="1415"/>
      <c r="T67" s="1415"/>
      <c r="U67" s="1415"/>
      <c r="V67" s="1415"/>
      <c r="W67" s="1415"/>
      <c r="X67" s="1415" t="str">
        <f>IF(Feats!C31="","",Feats!M31)</f>
        <v>Class ability</v>
      </c>
      <c r="Y67" s="1415"/>
      <c r="Z67" s="1415"/>
      <c r="AA67" s="1415"/>
      <c r="AB67" s="1416">
        <f>IF(Feats!C31="","",Feats!L31)</f>
        <v>5</v>
      </c>
      <c r="AC67" s="637"/>
    </row>
    <row r="68" spans="1:29" ht="19.5" customHeight="1" x14ac:dyDescent="0.25">
      <c r="A68" s="656"/>
      <c r="B68" s="1414" t="str">
        <f>IF(Feats!C8="","",Feats!C8)</f>
        <v>School = Enchantment</v>
      </c>
      <c r="C68" s="1415"/>
      <c r="D68" s="1415"/>
      <c r="E68" s="1415"/>
      <c r="F68" s="1415"/>
      <c r="G68" s="1415"/>
      <c r="H68" s="1415"/>
      <c r="I68" s="1415"/>
      <c r="J68" s="1415" t="str">
        <f>IF(Feats!C8="","",Feats!M8)</f>
        <v>Class details</v>
      </c>
      <c r="K68" s="1415"/>
      <c r="L68" s="1415"/>
      <c r="M68" s="1415"/>
      <c r="N68" s="1416">
        <f>IF(Feats!C8="","",Feats!L8)</f>
        <v>1</v>
      </c>
      <c r="O68" s="1413"/>
      <c r="P68" s="1414" t="str">
        <f>IF(Feats!C32="","",Feats!C32)</f>
        <v>Lightning Reflexes (Expert REF)</v>
      </c>
      <c r="Q68" s="1415"/>
      <c r="R68" s="1415"/>
      <c r="S68" s="1415"/>
      <c r="T68" s="1415"/>
      <c r="U68" s="1415"/>
      <c r="V68" s="1415"/>
      <c r="W68" s="1415"/>
      <c r="X68" s="1415" t="str">
        <f>IF(Feats!C32="","",Feats!M32)</f>
        <v>Class ability</v>
      </c>
      <c r="Y68" s="1415"/>
      <c r="Z68" s="1415"/>
      <c r="AA68" s="1415"/>
      <c r="AB68" s="1416">
        <f>IF(Feats!C32="","",Feats!L32)</f>
        <v>5</v>
      </c>
      <c r="AC68" s="637"/>
    </row>
    <row r="69" spans="1:29" ht="19.5" customHeight="1" x14ac:dyDescent="0.25">
      <c r="A69" s="656"/>
      <c r="B69" s="1414" t="str">
        <f>IF(Feats!C9="","",Feats!C9)</f>
        <v>Thesis = Improved Familiar Attunement</v>
      </c>
      <c r="C69" s="1415"/>
      <c r="D69" s="1415"/>
      <c r="E69" s="1415"/>
      <c r="F69" s="1415"/>
      <c r="G69" s="1415"/>
      <c r="H69" s="1415"/>
      <c r="I69" s="1415"/>
      <c r="J69" s="1415" t="str">
        <f>IF(Feats!C9="","",Feats!M9)</f>
        <v>Class details</v>
      </c>
      <c r="K69" s="1415"/>
      <c r="L69" s="1415"/>
      <c r="M69" s="1415"/>
      <c r="N69" s="1416">
        <f>IF(Feats!C9="","",Feats!L9)</f>
        <v>1</v>
      </c>
      <c r="O69" s="1413"/>
      <c r="P69" s="1414" t="str">
        <f>IF(Feats!C33="","",Feats!C33)</f>
        <v>Elf Instincts</v>
      </c>
      <c r="Q69" s="1415"/>
      <c r="R69" s="1415"/>
      <c r="S69" s="1415"/>
      <c r="T69" s="1415"/>
      <c r="U69" s="1415"/>
      <c r="V69" s="1415"/>
      <c r="W69" s="1415"/>
      <c r="X69" s="1415" t="str">
        <f>IF(Feats!C33="","",Feats!M33)</f>
        <v>Ancestry feat</v>
      </c>
      <c r="Y69" s="1415"/>
      <c r="Z69" s="1415"/>
      <c r="AA69" s="1415"/>
      <c r="AB69" s="1416">
        <f>IF(Feats!C33="","",Feats!L33)</f>
        <v>5</v>
      </c>
      <c r="AC69" s="637"/>
    </row>
    <row r="70" spans="1:29" ht="19.5" customHeight="1" x14ac:dyDescent="0.25">
      <c r="A70" s="656"/>
      <c r="B70" s="1414" t="str">
        <f>IF(Feats!C10="","",Feats!C10)</f>
        <v>Arcane bond</v>
      </c>
      <c r="C70" s="1415"/>
      <c r="D70" s="1415"/>
      <c r="E70" s="1415"/>
      <c r="F70" s="1415"/>
      <c r="G70" s="1415"/>
      <c r="H70" s="1415"/>
      <c r="I70" s="1415"/>
      <c r="J70" s="1415" t="str">
        <f>IF(Feats!C10="","",Feats!M10)</f>
        <v>Class ability</v>
      </c>
      <c r="K70" s="1415"/>
      <c r="L70" s="1415"/>
      <c r="M70" s="1415"/>
      <c r="N70" s="1416">
        <f>IF(Feats!C10="","",Feats!L10)</f>
        <v>1</v>
      </c>
      <c r="O70" s="1413"/>
      <c r="P70" s="1414" t="str">
        <f>IF(Feats!C34="","",Feats!C34)</f>
        <v>Expert in Medecine</v>
      </c>
      <c r="Q70" s="1415"/>
      <c r="R70" s="1415"/>
      <c r="S70" s="1415"/>
      <c r="T70" s="1415"/>
      <c r="U70" s="1415"/>
      <c r="V70" s="1415"/>
      <c r="W70" s="1415"/>
      <c r="X70" s="1415" t="str">
        <f>IF(Feats!C34="","",Feats!M34)</f>
        <v>Skill increase</v>
      </c>
      <c r="Y70" s="1415"/>
      <c r="Z70" s="1415"/>
      <c r="AA70" s="1415"/>
      <c r="AB70" s="1416">
        <f>IF(Feats!C34="","",Feats!L34)</f>
        <v>5</v>
      </c>
      <c r="AC70" s="637"/>
    </row>
    <row r="71" spans="1:29" ht="19.5" customHeight="1" x14ac:dyDescent="0.25">
      <c r="A71" s="656"/>
      <c r="B71" s="1414" t="str">
        <f>IF(Feats!C11="","",Feats!C11)</f>
        <v>Thesis = Familiar</v>
      </c>
      <c r="C71" s="1415"/>
      <c r="D71" s="1415"/>
      <c r="E71" s="1415"/>
      <c r="F71" s="1415"/>
      <c r="G71" s="1415"/>
      <c r="H71" s="1415"/>
      <c r="I71" s="1415"/>
      <c r="J71" s="1415" t="str">
        <f>IF(Feats!C11="","",Feats!M11)</f>
        <v>Class ability</v>
      </c>
      <c r="K71" s="1415"/>
      <c r="L71" s="1415"/>
      <c r="M71" s="1415"/>
      <c r="N71" s="1416">
        <f>IF(Feats!C11="","",Feats!L11)</f>
        <v>1</v>
      </c>
      <c r="O71" s="1413"/>
      <c r="P71" s="1414" t="str">
        <f>IF(Feats!C35="","",Feats!C35)</f>
        <v/>
      </c>
      <c r="Q71" s="1415"/>
      <c r="R71" s="1415"/>
      <c r="S71" s="1415"/>
      <c r="T71" s="1415"/>
      <c r="U71" s="1415"/>
      <c r="V71" s="1415"/>
      <c r="W71" s="1415"/>
      <c r="X71" s="1415" t="str">
        <f>IF(Feats!C35="","",Feats!M35)</f>
        <v/>
      </c>
      <c r="Y71" s="1415"/>
      <c r="Z71" s="1415"/>
      <c r="AA71" s="1415"/>
      <c r="AB71" s="1416" t="str">
        <f>IF(Feats!C35="","",Feats!L35)</f>
        <v/>
      </c>
      <c r="AC71" s="637"/>
    </row>
    <row r="72" spans="1:29" ht="19.5" hidden="1" customHeight="1" outlineLevel="1" x14ac:dyDescent="0.25">
      <c r="A72" s="656"/>
      <c r="B72" s="1414" t="str">
        <f>IF(Feats!C12="","",Feats!C12)</f>
        <v/>
      </c>
      <c r="C72" s="1415"/>
      <c r="D72" s="1415"/>
      <c r="E72" s="1415"/>
      <c r="F72" s="1415"/>
      <c r="G72" s="1415"/>
      <c r="H72" s="1415"/>
      <c r="I72" s="1415"/>
      <c r="J72" s="1415" t="str">
        <f>IF(Feats!C12="","",Feats!M12)</f>
        <v/>
      </c>
      <c r="K72" s="1415"/>
      <c r="L72" s="1415"/>
      <c r="M72" s="1415"/>
      <c r="N72" s="1416" t="str">
        <f>IF(Feats!C12="","",Feats!L12)</f>
        <v/>
      </c>
      <c r="O72" s="1413"/>
      <c r="P72" s="1414" t="str">
        <f>IF(Feats!C36="","",Feats!C36)</f>
        <v/>
      </c>
      <c r="Q72" s="1415"/>
      <c r="R72" s="1415"/>
      <c r="S72" s="1415"/>
      <c r="T72" s="1415"/>
      <c r="U72" s="1415"/>
      <c r="V72" s="1415"/>
      <c r="W72" s="1415"/>
      <c r="X72" s="1415" t="str">
        <f>IF(Feats!C36="","",Feats!M36)</f>
        <v/>
      </c>
      <c r="Y72" s="1415"/>
      <c r="Z72" s="1415"/>
      <c r="AA72" s="1415"/>
      <c r="AB72" s="1416" t="str">
        <f>IF(Feats!C36="","",Feats!L36)</f>
        <v/>
      </c>
      <c r="AC72" s="637"/>
    </row>
    <row r="73" spans="1:29" ht="19.5" hidden="1" customHeight="1" outlineLevel="1" x14ac:dyDescent="0.25">
      <c r="A73" s="656"/>
      <c r="B73" s="1414" t="str">
        <f>IF(Feats!C13="","",Feats!C13)</f>
        <v/>
      </c>
      <c r="C73" s="1415"/>
      <c r="D73" s="1415"/>
      <c r="E73" s="1415"/>
      <c r="F73" s="1415"/>
      <c r="G73" s="1415"/>
      <c r="H73" s="1415"/>
      <c r="I73" s="1415"/>
      <c r="J73" s="1415" t="str">
        <f>IF(Feats!C13="","",Feats!M13)</f>
        <v/>
      </c>
      <c r="K73" s="1415"/>
      <c r="L73" s="1415"/>
      <c r="M73" s="1415"/>
      <c r="N73" s="1416" t="str">
        <f>IF(Feats!C13="","",Feats!L13)</f>
        <v/>
      </c>
      <c r="O73" s="1413"/>
      <c r="P73" s="1414" t="str">
        <f>IF(Feats!C37="","",Feats!C37)</f>
        <v/>
      </c>
      <c r="Q73" s="1415"/>
      <c r="R73" s="1415"/>
      <c r="S73" s="1415"/>
      <c r="T73" s="1415"/>
      <c r="U73" s="1415"/>
      <c r="V73" s="1415"/>
      <c r="W73" s="1415"/>
      <c r="X73" s="1415" t="str">
        <f>IF(Feats!C37="","",Feats!M37)</f>
        <v/>
      </c>
      <c r="Y73" s="1415"/>
      <c r="Z73" s="1415"/>
      <c r="AA73" s="1415"/>
      <c r="AB73" s="1416" t="str">
        <f>IF(Feats!C37="","",Feats!L37)</f>
        <v/>
      </c>
      <c r="AC73" s="637"/>
    </row>
    <row r="74" spans="1:29" ht="19.5" customHeight="1" collapsed="1" x14ac:dyDescent="0.25">
      <c r="A74" s="656"/>
      <c r="B74" s="1414" t="str">
        <f>IF(Feats!C14="","",Feats!C14)</f>
        <v>Arcane prepared spellcasting</v>
      </c>
      <c r="C74" s="1415"/>
      <c r="D74" s="1415"/>
      <c r="E74" s="1415"/>
      <c r="F74" s="1415"/>
      <c r="G74" s="1415"/>
      <c r="H74" s="1415"/>
      <c r="I74" s="1415"/>
      <c r="J74" s="1415" t="str">
        <f>IF(Feats!C14="","",Feats!M14)</f>
        <v>Class ability</v>
      </c>
      <c r="K74" s="1415"/>
      <c r="L74" s="1415"/>
      <c r="M74" s="1415"/>
      <c r="N74" s="1416">
        <f>IF(Feats!C14="","",Feats!L14)</f>
        <v>1</v>
      </c>
      <c r="O74" s="1413"/>
      <c r="P74" s="1414" t="str">
        <f>IF(Feats!C38="","",Feats!C38)</f>
        <v/>
      </c>
      <c r="Q74" s="1415"/>
      <c r="R74" s="1415"/>
      <c r="S74" s="1415"/>
      <c r="T74" s="1415"/>
      <c r="U74" s="1415"/>
      <c r="V74" s="1415"/>
      <c r="W74" s="1415"/>
      <c r="X74" s="1415" t="str">
        <f>IF(Feats!C38="","",Feats!M38)</f>
        <v/>
      </c>
      <c r="Y74" s="1415"/>
      <c r="Z74" s="1415"/>
      <c r="AA74" s="1415"/>
      <c r="AB74" s="1416" t="str">
        <f>IF(Feats!C38="","",Feats!L38)</f>
        <v/>
      </c>
      <c r="AC74" s="637"/>
    </row>
    <row r="75" spans="1:29" ht="19.5" customHeight="1" x14ac:dyDescent="0.25">
      <c r="A75" s="656"/>
      <c r="B75" s="1414" t="str">
        <f>IF(Feats!C15="","",Feats!C15)</f>
        <v>Familiar (Cat)</v>
      </c>
      <c r="C75" s="1415"/>
      <c r="D75" s="1415"/>
      <c r="E75" s="1415"/>
      <c r="F75" s="1415"/>
      <c r="G75" s="1415"/>
      <c r="H75" s="1415"/>
      <c r="I75" s="1415"/>
      <c r="J75" s="1415" t="str">
        <f>IF(Feats!C15="","",Feats!M15)</f>
        <v>Starting feat</v>
      </c>
      <c r="K75" s="1415"/>
      <c r="L75" s="1415"/>
      <c r="M75" s="1415"/>
      <c r="N75" s="1416">
        <f>IF(Feats!C15="","",Feats!L15)</f>
        <v>1</v>
      </c>
      <c r="O75" s="1413"/>
      <c r="P75" s="1414" t="str">
        <f>IF(Feats!C39="","",Feats!C39)</f>
        <v/>
      </c>
      <c r="Q75" s="1415"/>
      <c r="R75" s="1415"/>
      <c r="S75" s="1415"/>
      <c r="T75" s="1415"/>
      <c r="U75" s="1415"/>
      <c r="V75" s="1415"/>
      <c r="W75" s="1415"/>
      <c r="X75" s="1415" t="str">
        <f>IF(Feats!C39="","",Feats!M39)</f>
        <v/>
      </c>
      <c r="Y75" s="1415"/>
      <c r="Z75" s="1415"/>
      <c r="AA75" s="1415"/>
      <c r="AB75" s="1416" t="str">
        <f>IF(Feats!C39="","",Feats!L39)</f>
        <v/>
      </c>
      <c r="AC75" s="637"/>
    </row>
    <row r="76" spans="1:29" ht="19.5" hidden="1" customHeight="1" outlineLevel="1" x14ac:dyDescent="0.25">
      <c r="A76" s="656"/>
      <c r="B76" s="1414" t="str">
        <f>IF(Feats!C16="","",Feats!C16)</f>
        <v/>
      </c>
      <c r="C76" s="1415"/>
      <c r="D76" s="1415"/>
      <c r="E76" s="1415"/>
      <c r="F76" s="1415"/>
      <c r="G76" s="1415"/>
      <c r="H76" s="1415"/>
      <c r="I76" s="1415"/>
      <c r="J76" s="1415" t="str">
        <f>IF(Feats!C16="","",Feats!M16)</f>
        <v/>
      </c>
      <c r="K76" s="1415"/>
      <c r="L76" s="1415"/>
      <c r="M76" s="1415"/>
      <c r="N76" s="1416" t="str">
        <f>IF(Feats!C16="","",Feats!L16)</f>
        <v/>
      </c>
      <c r="O76" s="1413"/>
      <c r="P76" s="1414" t="str">
        <f>IF(Feats!C40="","",Feats!C40)</f>
        <v/>
      </c>
      <c r="Q76" s="1415"/>
      <c r="R76" s="1415"/>
      <c r="S76" s="1415"/>
      <c r="T76" s="1415"/>
      <c r="U76" s="1415"/>
      <c r="V76" s="1415"/>
      <c r="W76" s="1415"/>
      <c r="X76" s="1415" t="str">
        <f>IF(Feats!C40="","",Feats!M40)</f>
        <v/>
      </c>
      <c r="Y76" s="1415"/>
      <c r="Z76" s="1415"/>
      <c r="AA76" s="1415"/>
      <c r="AB76" s="1416" t="str">
        <f>IF(Feats!C40="","",Feats!L40)</f>
        <v/>
      </c>
      <c r="AC76" s="637"/>
    </row>
    <row r="77" spans="1:29" ht="19.5" hidden="1" customHeight="1" outlineLevel="1" x14ac:dyDescent="0.25">
      <c r="A77" s="656"/>
      <c r="B77" s="1414" t="str">
        <f>IF(Feats!C17="","",Feats!C17)</f>
        <v/>
      </c>
      <c r="C77" s="1415"/>
      <c r="D77" s="1415"/>
      <c r="E77" s="1415"/>
      <c r="F77" s="1415"/>
      <c r="G77" s="1415"/>
      <c r="H77" s="1415"/>
      <c r="I77" s="1415"/>
      <c r="J77" s="1415" t="str">
        <f>IF(Feats!C17="","",Feats!M17)</f>
        <v/>
      </c>
      <c r="K77" s="1415"/>
      <c r="L77" s="1415"/>
      <c r="M77" s="1415"/>
      <c r="N77" s="1416" t="str">
        <f>IF(Feats!C17="","",Feats!L17)</f>
        <v/>
      </c>
      <c r="O77" s="1413"/>
      <c r="P77" s="1414" t="str">
        <f>IF(Feats!C41="","",Feats!C41)</f>
        <v/>
      </c>
      <c r="Q77" s="1415"/>
      <c r="R77" s="1415"/>
      <c r="S77" s="1415"/>
      <c r="T77" s="1415"/>
      <c r="U77" s="1415"/>
      <c r="V77" s="1415"/>
      <c r="W77" s="1415"/>
      <c r="X77" s="1415" t="str">
        <f>IF(Feats!C41="","",Feats!M41)</f>
        <v/>
      </c>
      <c r="Y77" s="1415"/>
      <c r="Z77" s="1415"/>
      <c r="AA77" s="1415"/>
      <c r="AB77" s="1416" t="str">
        <f>IF(Feats!C41="","",Feats!L41)</f>
        <v/>
      </c>
      <c r="AC77" s="637"/>
    </row>
    <row r="78" spans="1:29" ht="19.5" customHeight="1" collapsed="1" x14ac:dyDescent="0.25">
      <c r="A78" s="656"/>
      <c r="B78" s="1414" t="str">
        <f>IF(Feats!C18="","",Feats!C18)</f>
        <v>Recognize Spell (T Arcana)</v>
      </c>
      <c r="C78" s="1415"/>
      <c r="D78" s="1415"/>
      <c r="E78" s="1415"/>
      <c r="F78" s="1415"/>
      <c r="G78" s="1415"/>
      <c r="H78" s="1415"/>
      <c r="I78" s="1415"/>
      <c r="J78" s="1415" t="str">
        <f>IF(Feats!C18="","",Feats!M18)</f>
        <v>Skill feat</v>
      </c>
      <c r="K78" s="1415"/>
      <c r="L78" s="1415"/>
      <c r="M78" s="1415"/>
      <c r="N78" s="1416">
        <f>IF(Feats!C18="","",Feats!L18)</f>
        <v>2</v>
      </c>
      <c r="O78" s="1413"/>
      <c r="P78" s="1414" t="str">
        <f>IF(Feats!C42="","",Feats!C42)</f>
        <v/>
      </c>
      <c r="Q78" s="1415"/>
      <c r="R78" s="1415"/>
      <c r="S78" s="1415"/>
      <c r="T78" s="1415"/>
      <c r="U78" s="1415"/>
      <c r="V78" s="1415"/>
      <c r="W78" s="1415"/>
      <c r="X78" s="1415" t="str">
        <f>IF(Feats!C42="","",Feats!M42)</f>
        <v/>
      </c>
      <c r="Y78" s="1415"/>
      <c r="Z78" s="1415"/>
      <c r="AA78" s="1415"/>
      <c r="AB78" s="1416" t="str">
        <f>IF(Feats!C42="","",Feats!L42)</f>
        <v/>
      </c>
      <c r="AC78" s="637"/>
    </row>
    <row r="79" spans="1:29" ht="19.5" customHeight="1" x14ac:dyDescent="0.25">
      <c r="A79" s="656"/>
      <c r="B79" s="1414" t="str">
        <f>IF(Feats!C19="","",Feats!C19)</f>
        <v>Enhanced Familiar</v>
      </c>
      <c r="C79" s="1415"/>
      <c r="D79" s="1415"/>
      <c r="E79" s="1415"/>
      <c r="F79" s="1415"/>
      <c r="G79" s="1415"/>
      <c r="H79" s="1415"/>
      <c r="I79" s="1415"/>
      <c r="J79" s="1415" t="str">
        <f>IF(Feats!C19="","",Feats!M19)</f>
        <v>Class feat</v>
      </c>
      <c r="K79" s="1415"/>
      <c r="L79" s="1415"/>
      <c r="M79" s="1415"/>
      <c r="N79" s="1416">
        <f>IF(Feats!C19="","",Feats!L19)</f>
        <v>2</v>
      </c>
      <c r="O79" s="1413"/>
      <c r="P79" s="1414" t="str">
        <f>IF(Feats!C43="","",Feats!C43)</f>
        <v/>
      </c>
      <c r="Q79" s="1415"/>
      <c r="R79" s="1415"/>
      <c r="S79" s="1415"/>
      <c r="T79" s="1415"/>
      <c r="U79" s="1415"/>
      <c r="V79" s="1415"/>
      <c r="W79" s="1415"/>
      <c r="X79" s="1415" t="str">
        <f>IF(Feats!C43="","",Feats!M43)</f>
        <v/>
      </c>
      <c r="Y79" s="1415"/>
      <c r="Z79" s="1415"/>
      <c r="AA79" s="1415"/>
      <c r="AB79" s="1416" t="str">
        <f>IF(Feats!C43="","",Feats!L43)</f>
        <v/>
      </c>
      <c r="AC79" s="637"/>
    </row>
    <row r="80" spans="1:29" ht="19.5" hidden="1" customHeight="1" outlineLevel="1" x14ac:dyDescent="0.25">
      <c r="A80" s="656"/>
      <c r="B80" s="1414" t="str">
        <f>IF(Feats!C20="","",Feats!C20)</f>
        <v/>
      </c>
      <c r="C80" s="1415"/>
      <c r="D80" s="1415"/>
      <c r="E80" s="1415"/>
      <c r="F80" s="1415"/>
      <c r="G80" s="1415"/>
      <c r="H80" s="1415"/>
      <c r="I80" s="1415"/>
      <c r="J80" s="1415" t="str">
        <f>IF(Feats!C20="","",Feats!M20)</f>
        <v/>
      </c>
      <c r="K80" s="1415"/>
      <c r="L80" s="1415"/>
      <c r="M80" s="1415"/>
      <c r="N80" s="1416" t="str">
        <f>IF(Feats!C20="","",Feats!L20)</f>
        <v/>
      </c>
      <c r="O80" s="1413"/>
      <c r="P80" s="1414" t="str">
        <f>IF(Feats!C44="","",Feats!C44)</f>
        <v/>
      </c>
      <c r="Q80" s="1415"/>
      <c r="R80" s="1415"/>
      <c r="S80" s="1415"/>
      <c r="T80" s="1415"/>
      <c r="U80" s="1415"/>
      <c r="V80" s="1415"/>
      <c r="W80" s="1415"/>
      <c r="X80" s="1415" t="str">
        <f>IF(Feats!C44="","",Feats!M44)</f>
        <v/>
      </c>
      <c r="Y80" s="1415"/>
      <c r="Z80" s="1415"/>
      <c r="AA80" s="1415"/>
      <c r="AB80" s="1416" t="str">
        <f>IF(Feats!C44="","",Feats!L44)</f>
        <v/>
      </c>
      <c r="AC80" s="637"/>
    </row>
    <row r="81" spans="1:29" ht="19.5" hidden="1" customHeight="1" outlineLevel="1" x14ac:dyDescent="0.25">
      <c r="A81" s="656"/>
      <c r="B81" s="1414" t="str">
        <f>IF(Feats!C21="","",Feats!C21)</f>
        <v/>
      </c>
      <c r="C81" s="1415"/>
      <c r="D81" s="1415"/>
      <c r="E81" s="1415"/>
      <c r="F81" s="1415"/>
      <c r="G81" s="1415"/>
      <c r="H81" s="1415"/>
      <c r="I81" s="1415" t="str">
        <f>IF(Feats!C21="","",Feats!M21)</f>
        <v/>
      </c>
      <c r="J81" s="1415" t="str">
        <f>IF(Feats!C21="","",Feats!M21)</f>
        <v/>
      </c>
      <c r="K81" s="1415"/>
      <c r="L81" s="1415"/>
      <c r="M81" s="1415"/>
      <c r="N81" s="1416" t="str">
        <f>IF(Feats!C21="","",Feats!L21)</f>
        <v/>
      </c>
      <c r="O81" s="1413"/>
      <c r="P81" s="1414" t="str">
        <f>IF(Feats!C45="","",Feats!C45)</f>
        <v/>
      </c>
      <c r="Q81" s="1415"/>
      <c r="R81" s="1415"/>
      <c r="S81" s="1415"/>
      <c r="T81" s="1415"/>
      <c r="U81" s="1415"/>
      <c r="V81" s="1415"/>
      <c r="W81" s="1415"/>
      <c r="X81" s="1415" t="str">
        <f>IF(Feats!C45="","",Feats!M45)</f>
        <v/>
      </c>
      <c r="Y81" s="1415"/>
      <c r="Z81" s="1415"/>
      <c r="AA81" s="1415"/>
      <c r="AB81" s="1416" t="str">
        <f>IF(Feats!C45="","",Feats!L45)</f>
        <v/>
      </c>
      <c r="AC81" s="637"/>
    </row>
    <row r="82" spans="1:29" ht="19.5" hidden="1" customHeight="1" outlineLevel="1" x14ac:dyDescent="0.25">
      <c r="A82" s="656"/>
      <c r="B82" s="1414" t="str">
        <f>IF(Feats!C22="","",Feats!C22)</f>
        <v/>
      </c>
      <c r="C82" s="1415"/>
      <c r="D82" s="1415"/>
      <c r="E82" s="1415"/>
      <c r="F82" s="1415"/>
      <c r="G82" s="1415"/>
      <c r="H82" s="1415"/>
      <c r="I82" s="1415" t="str">
        <f>IF(Feats!C22="","",Feats!M22)</f>
        <v/>
      </c>
      <c r="J82" s="1415" t="str">
        <f>IF(Feats!C22="","",Feats!M22)</f>
        <v/>
      </c>
      <c r="K82" s="1415"/>
      <c r="L82" s="1415"/>
      <c r="M82" s="1415"/>
      <c r="N82" s="1416" t="str">
        <f>IF(Feats!C22="","",Feats!L22)</f>
        <v/>
      </c>
      <c r="O82" s="1413"/>
      <c r="P82" s="1414" t="str">
        <f>IF(Feats!C46="","",Feats!C46)</f>
        <v/>
      </c>
      <c r="Q82" s="1415"/>
      <c r="R82" s="1415"/>
      <c r="S82" s="1415"/>
      <c r="T82" s="1415"/>
      <c r="U82" s="1415"/>
      <c r="V82" s="1415"/>
      <c r="W82" s="1415"/>
      <c r="X82" s="1415" t="str">
        <f>IF(Feats!C46="","",Feats!M46)</f>
        <v/>
      </c>
      <c r="Y82" s="1415"/>
      <c r="Z82" s="1415"/>
      <c r="AA82" s="1415"/>
      <c r="AB82" s="1416" t="str">
        <f>IF(Feats!C46="","",Feats!L46)</f>
        <v/>
      </c>
      <c r="AC82" s="637"/>
    </row>
    <row r="83" spans="1:29" ht="19.5" hidden="1" customHeight="1" outlineLevel="1" x14ac:dyDescent="0.25">
      <c r="A83" s="656"/>
      <c r="B83" s="1414" t="str">
        <f>IF(Feats!C23="","",Feats!C23)</f>
        <v/>
      </c>
      <c r="C83" s="1415"/>
      <c r="D83" s="1415"/>
      <c r="E83" s="1415"/>
      <c r="F83" s="1415"/>
      <c r="G83" s="1415"/>
      <c r="H83" s="1415"/>
      <c r="I83" s="1415" t="str">
        <f>IF(Feats!C23="","",Feats!M23)</f>
        <v/>
      </c>
      <c r="J83" s="1415" t="str">
        <f>IF(Feats!C23="","",Feats!M23)</f>
        <v/>
      </c>
      <c r="K83" s="1415"/>
      <c r="L83" s="1415"/>
      <c r="M83" s="1415"/>
      <c r="N83" s="1416" t="str">
        <f>IF(Feats!C23="","",Feats!L23)</f>
        <v/>
      </c>
      <c r="O83" s="1413"/>
      <c r="P83" s="1414" t="str">
        <f>IF(Feats!C47="","",Feats!C47)</f>
        <v/>
      </c>
      <c r="Q83" s="1415"/>
      <c r="R83" s="1415"/>
      <c r="S83" s="1415"/>
      <c r="T83" s="1415"/>
      <c r="U83" s="1415"/>
      <c r="V83" s="1415"/>
      <c r="W83" s="1415"/>
      <c r="X83" s="1415" t="str">
        <f>IF(Feats!C47="","",Feats!M47)</f>
        <v/>
      </c>
      <c r="Y83" s="1415"/>
      <c r="Z83" s="1415"/>
      <c r="AA83" s="1415"/>
      <c r="AB83" s="1416" t="str">
        <f>IF(Feats!C47="","",Feats!L47)</f>
        <v/>
      </c>
      <c r="AC83" s="637"/>
    </row>
    <row r="84" spans="1:29" ht="19.5" customHeight="1" collapsed="1" x14ac:dyDescent="0.25">
      <c r="A84" s="656"/>
      <c r="B84" s="1414" t="str">
        <f>IF(Feats!C24="","",Feats!C24)</f>
        <v>2nd level spells</v>
      </c>
      <c r="C84" s="1415"/>
      <c r="D84" s="1415"/>
      <c r="E84" s="1415"/>
      <c r="F84" s="1415"/>
      <c r="G84" s="1415"/>
      <c r="H84" s="1415"/>
      <c r="I84" s="1415"/>
      <c r="J84" s="1415" t="str">
        <f>IF(Feats!C24="","",Feats!M24)</f>
        <v>Class ability</v>
      </c>
      <c r="K84" s="1415"/>
      <c r="L84" s="1415"/>
      <c r="M84" s="1415"/>
      <c r="N84" s="1416">
        <f>IF(Feats!C24="","",Feats!L24)</f>
        <v>3</v>
      </c>
      <c r="O84" s="1413"/>
      <c r="P84" s="1414" t="str">
        <f>IF(Feats!C48="","",Feats!C48)</f>
        <v/>
      </c>
      <c r="Q84" s="1415"/>
      <c r="R84" s="1415"/>
      <c r="S84" s="1415"/>
      <c r="T84" s="1415"/>
      <c r="U84" s="1415"/>
      <c r="V84" s="1415"/>
      <c r="W84" s="1415"/>
      <c r="X84" s="1415" t="str">
        <f>IF(Feats!C48="","",Feats!M48)</f>
        <v/>
      </c>
      <c r="Y84" s="1415"/>
      <c r="Z84" s="1415"/>
      <c r="AA84" s="1415"/>
      <c r="AB84" s="1416" t="str">
        <f>IF(Feats!C48="","",Feats!L48)</f>
        <v/>
      </c>
      <c r="AC84" s="637"/>
    </row>
    <row r="85" spans="1:29" ht="19.5" customHeight="1" x14ac:dyDescent="0.25">
      <c r="A85" s="656"/>
      <c r="B85" s="1414" t="str">
        <f>IF(Feats!C25="","",Feats!C25)</f>
        <v>Canny Acumen (Expert FOR)</v>
      </c>
      <c r="C85" s="1415"/>
      <c r="D85" s="1415"/>
      <c r="E85" s="1415"/>
      <c r="F85" s="1415"/>
      <c r="G85" s="1415"/>
      <c r="H85" s="1415"/>
      <c r="I85" s="1415"/>
      <c r="J85" s="1415" t="str">
        <f>IF(Feats!C25="","",Feats!M25)</f>
        <v>General feat</v>
      </c>
      <c r="K85" s="1415"/>
      <c r="L85" s="1415"/>
      <c r="M85" s="1415"/>
      <c r="N85" s="1416">
        <f>IF(Feats!C25="","",Feats!L25)</f>
        <v>3</v>
      </c>
      <c r="O85" s="1413"/>
      <c r="P85" s="1414" t="str">
        <f>IF(Feats!C49="","",Feats!C49)</f>
        <v/>
      </c>
      <c r="Q85" s="1415"/>
      <c r="R85" s="1415"/>
      <c r="S85" s="1415"/>
      <c r="T85" s="1415"/>
      <c r="U85" s="1415"/>
      <c r="V85" s="1415"/>
      <c r="W85" s="1415"/>
      <c r="X85" s="1415" t="str">
        <f>IF(Feats!C49="","",Feats!M49)</f>
        <v/>
      </c>
      <c r="Y85" s="1415"/>
      <c r="Z85" s="1415"/>
      <c r="AA85" s="1415"/>
      <c r="AB85" s="1416" t="str">
        <f>IF(Feats!C49="","",Feats!L49)</f>
        <v/>
      </c>
      <c r="AC85" s="637"/>
    </row>
    <row r="86" spans="1:29" ht="19.5" customHeight="1" x14ac:dyDescent="0.25">
      <c r="A86" s="656"/>
      <c r="B86" s="1414" t="str">
        <f>IF(Feats!C26="","",Feats!C26)</f>
        <v>Expert in Performance</v>
      </c>
      <c r="C86" s="1415"/>
      <c r="D86" s="1415"/>
      <c r="E86" s="1415"/>
      <c r="F86" s="1415"/>
      <c r="G86" s="1415"/>
      <c r="H86" s="1415"/>
      <c r="I86" s="1415"/>
      <c r="J86" s="1415" t="str">
        <f>IF(Feats!C26="","",Feats!M26)</f>
        <v>Skill increase</v>
      </c>
      <c r="K86" s="1415"/>
      <c r="L86" s="1415"/>
      <c r="M86" s="1415"/>
      <c r="N86" s="1416">
        <f>IF(Feats!C26="","",Feats!L26)</f>
        <v>3</v>
      </c>
      <c r="O86" s="1413"/>
      <c r="P86" s="1414" t="str">
        <f>IF(Feats!C50="","",Feats!C50)</f>
        <v/>
      </c>
      <c r="Q86" s="1415"/>
      <c r="R86" s="1415"/>
      <c r="S86" s="1415"/>
      <c r="T86" s="1415"/>
      <c r="U86" s="1415"/>
      <c r="V86" s="1415"/>
      <c r="W86" s="1415"/>
      <c r="X86" s="1415" t="str">
        <f>IF(Feats!C50="","",Feats!M50)</f>
        <v/>
      </c>
      <c r="Y86" s="1415"/>
      <c r="Z86" s="1415"/>
      <c r="AA86" s="1415"/>
      <c r="AB86" s="1416" t="str">
        <f>IF(Feats!C50="","",Feats!L50)</f>
        <v/>
      </c>
      <c r="AC86" s="637"/>
    </row>
    <row r="87" spans="1:29" ht="19.5" hidden="1" customHeight="1" outlineLevel="1" x14ac:dyDescent="0.25">
      <c r="A87" s="656"/>
      <c r="B87" s="1414" t="str">
        <f>IF(Feats!C27="","",Feats!C27)</f>
        <v/>
      </c>
      <c r="C87" s="1415"/>
      <c r="D87" s="1415"/>
      <c r="E87" s="1415"/>
      <c r="F87" s="1415"/>
      <c r="G87" s="1415"/>
      <c r="H87" s="1415"/>
      <c r="I87" s="1415"/>
      <c r="J87" s="1415" t="str">
        <f>IF(Feats!C27="","",Feats!M27)</f>
        <v/>
      </c>
      <c r="K87" s="1415"/>
      <c r="L87" s="1415"/>
      <c r="M87" s="1415"/>
      <c r="N87" s="1416" t="str">
        <f>IF(Feats!C27="","",Feats!L27)</f>
        <v/>
      </c>
      <c r="O87" s="1413"/>
      <c r="P87" s="1414"/>
      <c r="Q87" s="1415"/>
      <c r="R87" s="1415"/>
      <c r="S87" s="1415"/>
      <c r="T87" s="1415"/>
      <c r="U87" s="1415"/>
      <c r="V87" s="1415"/>
      <c r="W87" s="1415"/>
      <c r="X87" s="1415"/>
      <c r="Y87" s="1415"/>
      <c r="Z87" s="1415"/>
      <c r="AA87" s="1415"/>
      <c r="AB87" s="1417"/>
      <c r="AC87" s="637"/>
    </row>
    <row r="88" spans="1:29" ht="19.5" customHeight="1" collapsed="1" x14ac:dyDescent="0.25">
      <c r="A88" s="656"/>
      <c r="B88" s="1418" t="str">
        <f>IF(Feats!C28="","",Feats!C28)</f>
        <v>Distracting Performance</v>
      </c>
      <c r="C88" s="1419"/>
      <c r="D88" s="1419"/>
      <c r="E88" s="1419"/>
      <c r="F88" s="1419"/>
      <c r="G88" s="1419"/>
      <c r="H88" s="1419"/>
      <c r="I88" s="1420"/>
      <c r="J88" s="1419" t="str">
        <f>IF(Feats!C28="","",Feats!M28)</f>
        <v>Skill feat</v>
      </c>
      <c r="K88" s="1420"/>
      <c r="L88" s="1419"/>
      <c r="M88" s="1419"/>
      <c r="N88" s="1421">
        <f>IF(Feats!C28="","",Feats!L28)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customHeight="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customHeight="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customHeight="1" x14ac:dyDescent="0.3">
      <c r="A92" s="643"/>
      <c r="B92" s="490"/>
      <c r="C92" s="490"/>
      <c r="D92" s="489" t="s">
        <v>324</v>
      </c>
      <c r="E92" s="490"/>
      <c r="F92" s="490"/>
      <c r="G92" s="490"/>
      <c r="H92" s="490"/>
      <c r="I92" s="489" t="s">
        <v>79</v>
      </c>
      <c r="J92" s="490"/>
      <c r="K92" s="640" t="s">
        <v>490</v>
      </c>
      <c r="L92" s="490"/>
      <c r="M92" s="669" t="s">
        <v>554</v>
      </c>
      <c r="N92" s="701" t="str">
        <f>IF(Spells!C17="","",Spells!C17)</f>
        <v>3+1</v>
      </c>
      <c r="O92" s="702" t="str">
        <f>IF(Spells!C18="","",Spells!C18)</f>
        <v>3+1</v>
      </c>
      <c r="P92" s="702" t="str">
        <f>IF(Spells!C19="","",Spells!C19)</f>
        <v>2+1</v>
      </c>
      <c r="Q92" s="702" t="str">
        <f>IF(Spells!C20="","",Spells!C20)</f>
        <v/>
      </c>
      <c r="R92" s="702"/>
      <c r="S92" s="703"/>
      <c r="T92" s="703" t="str">
        <f>IF(Spells!C23="","",Spells!C23)</f>
        <v/>
      </c>
      <c r="U92" s="703" t="str">
        <f>IF(Spells!C24="","",Spells!C24)</f>
        <v/>
      </c>
      <c r="V92" s="703" t="str">
        <f>IF(Spells!C25="","",Spells!C25)</f>
        <v/>
      </c>
      <c r="W92" s="1226" t="str">
        <f>IF(Spells!C26="","",Spells!C26)</f>
        <v/>
      </c>
      <c r="X92" s="490"/>
      <c r="Y92" s="1265" t="s">
        <v>983</v>
      </c>
      <c r="Z92" s="490"/>
      <c r="AA92" s="490"/>
      <c r="AB92" s="490"/>
      <c r="AC92" s="637"/>
    </row>
    <row r="93" spans="1:29" ht="19.5" customHeight="1" x14ac:dyDescent="0.25">
      <c r="A93" s="643"/>
      <c r="B93" s="768">
        <f>Skills!C38</f>
        <v>11</v>
      </c>
      <c r="C93" s="704" t="s">
        <v>502</v>
      </c>
      <c r="D93" s="705">
        <f>Skills!C207</f>
        <v>7</v>
      </c>
      <c r="E93" s="706" t="str">
        <f>Skills!C165</f>
        <v>Trained</v>
      </c>
      <c r="F93" s="1466"/>
      <c r="G93" s="707" t="s">
        <v>499</v>
      </c>
      <c r="H93" s="705">
        <f>Skills!C70</f>
        <v>4</v>
      </c>
      <c r="I93" s="708" t="str">
        <f>Skills!C71</f>
        <v>INT</v>
      </c>
      <c r="J93" s="490"/>
      <c r="K93" s="771">
        <f>Spells!C4</f>
        <v>3</v>
      </c>
      <c r="L93" s="490"/>
      <c r="M93" s="669" t="s">
        <v>490</v>
      </c>
      <c r="N93" s="492">
        <v>1</v>
      </c>
      <c r="O93" s="457">
        <v>2</v>
      </c>
      <c r="P93" s="457">
        <v>3</v>
      </c>
      <c r="Q93" s="457">
        <v>4</v>
      </c>
      <c r="R93" s="457">
        <v>5</v>
      </c>
      <c r="S93" s="457">
        <v>6</v>
      </c>
      <c r="T93" s="457">
        <v>7</v>
      </c>
      <c r="U93" s="457">
        <v>8</v>
      </c>
      <c r="V93" s="448">
        <v>9</v>
      </c>
      <c r="W93" s="1224">
        <v>10</v>
      </c>
      <c r="X93" s="490"/>
      <c r="Y93" s="771" t="str">
        <f>Spells!C16</f>
        <v>5+1</v>
      </c>
      <c r="Z93" s="490"/>
      <c r="AA93" s="490"/>
      <c r="AB93" s="490"/>
      <c r="AC93" s="637"/>
    </row>
    <row r="94" spans="1:29" ht="19.5" customHeight="1" x14ac:dyDescent="0.3">
      <c r="A94" s="596"/>
      <c r="B94" s="769">
        <f>Skills!C39</f>
        <v>21</v>
      </c>
      <c r="C94" s="709" t="s">
        <v>552</v>
      </c>
      <c r="D94" s="710">
        <f>Skills!C208</f>
        <v>7</v>
      </c>
      <c r="E94" s="711" t="str">
        <f>Skills!C167</f>
        <v>Trained</v>
      </c>
      <c r="F94" s="1420"/>
      <c r="G94" s="712" t="s">
        <v>499</v>
      </c>
      <c r="H94" s="710">
        <f>Skills!C70</f>
        <v>4</v>
      </c>
      <c r="I94" s="713" t="str">
        <f>Skills!C71</f>
        <v>INT</v>
      </c>
      <c r="J94" s="490"/>
      <c r="K94" s="130"/>
      <c r="L94" s="493"/>
      <c r="M94" s="670" t="s">
        <v>459</v>
      </c>
      <c r="N94" s="698" t="str">
        <f>IF(Spells!C6="","",Spells!C6)</f>
        <v>7+S</v>
      </c>
      <c r="O94" s="699">
        <f>IF(Spells!C7="","",Spells!C7)</f>
        <v>5</v>
      </c>
      <c r="P94" s="699">
        <f>IF(Spells!C8="","",Spells!C8)</f>
        <v>2</v>
      </c>
      <c r="Q94" s="699" t="str">
        <f>IF(Spells!C9="","",Spells!C9)</f>
        <v/>
      </c>
      <c r="R94" s="699"/>
      <c r="S94" s="699"/>
      <c r="T94" s="699"/>
      <c r="U94" s="699"/>
      <c r="V94" s="700"/>
      <c r="W94" s="1225"/>
      <c r="X94" s="671"/>
      <c r="Y94" s="130"/>
      <c r="Z94" s="490"/>
      <c r="AA94" s="490"/>
      <c r="AB94" s="490"/>
      <c r="AC94" s="637"/>
    </row>
    <row r="95" spans="1:29" s="450" customFormat="1" ht="19.5" customHeight="1" x14ac:dyDescent="0.3">
      <c r="A95" s="672"/>
      <c r="B95" s="673" t="s">
        <v>555</v>
      </c>
      <c r="C95" s="674"/>
      <c r="D95" s="674"/>
      <c r="E95" s="674"/>
      <c r="F95" s="674"/>
      <c r="G95" s="674"/>
      <c r="H95" s="674"/>
      <c r="I95" s="674"/>
      <c r="J95" s="674"/>
      <c r="M95" s="670" t="s">
        <v>936</v>
      </c>
      <c r="N95" s="1218" t="str">
        <f>IF(Spells!C27="","",Spells!C27)</f>
        <v>3+1</v>
      </c>
      <c r="O95" s="1219" t="str">
        <f>IF(Spells!C28="","",Spells!C28)</f>
        <v>3+1</v>
      </c>
      <c r="P95" s="1219" t="str">
        <f>IF(Spells!C29="","",Spells!C29)</f>
        <v>2+1</v>
      </c>
      <c r="Q95" s="1219" t="str">
        <f>IF(Spells!C30="","",Spells!C30)</f>
        <v/>
      </c>
      <c r="R95" s="1219" t="str">
        <f>IF(Spells!C31="","",Spells!C31)</f>
        <v/>
      </c>
      <c r="S95" s="1220" t="str">
        <f>IF(Spells!C32="","",Spells!C32)</f>
        <v/>
      </c>
      <c r="T95" s="1220" t="str">
        <f>IF(Spells!C33="","",Spells!C33)</f>
        <v/>
      </c>
      <c r="U95" s="1220" t="str">
        <f>IF(Spells!C34="","",Spells!C34)</f>
        <v/>
      </c>
      <c r="V95" s="1220" t="str">
        <f>IF(Spells!C35="","",Spells!C35)</f>
        <v/>
      </c>
      <c r="W95" s="1222" t="str">
        <f>IF(Spells!C36="","",Spells!C36)</f>
        <v/>
      </c>
      <c r="AB95" s="641"/>
      <c r="AC95" s="642"/>
    </row>
    <row r="96" spans="1:29" s="627" customFormat="1" ht="19.5" customHeight="1" x14ac:dyDescent="0.3">
      <c r="A96" s="596"/>
      <c r="B96" s="838" t="str">
        <f>IF(Feats!C14="","",Feats!C14)</f>
        <v>Arcane prepared spellcasting</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s="627" customFormat="1" ht="19.5" customHeight="1" x14ac:dyDescent="0.3">
      <c r="A97" s="596"/>
      <c r="B97" s="676" t="s">
        <v>557</v>
      </c>
      <c r="C97" s="130"/>
      <c r="D97" s="130"/>
      <c r="E97" s="674"/>
      <c r="F97" s="491" t="str">
        <f>IF(Spells!C5="","",Spells!C5)</f>
        <v>10+S</v>
      </c>
      <c r="G97" s="130"/>
      <c r="H97" s="674"/>
      <c r="I97" s="674"/>
      <c r="J97" s="130"/>
      <c r="K97" s="1423" t="str">
        <f>IF(Spells!C98="","","["&amp;Spells!C98&amp;"] "&amp;Spells!C99&amp;" ["&amp;Spells!C101&amp;"]")</f>
        <v>[School Level 1] Charm [2 (SV)]</v>
      </c>
      <c r="L97" s="1424"/>
      <c r="M97" s="1425"/>
      <c r="N97" s="1425"/>
      <c r="O97" s="1425"/>
      <c r="P97" s="1425"/>
      <c r="Q97" s="1425"/>
      <c r="R97" s="1426"/>
      <c r="S97" s="1404"/>
      <c r="T97" s="1427"/>
      <c r="U97" s="1424"/>
      <c r="V97" s="747"/>
      <c r="W97" s="747"/>
      <c r="X97" s="747"/>
      <c r="Y97" s="747"/>
      <c r="Z97" s="747"/>
      <c r="AA97" s="1350"/>
      <c r="AB97" s="838"/>
      <c r="AC97" s="637"/>
    </row>
    <row r="98" spans="1:29" s="627" customFormat="1" ht="19.5" customHeight="1" x14ac:dyDescent="0.25">
      <c r="A98" s="596"/>
      <c r="B98" s="676" t="s">
        <v>165</v>
      </c>
      <c r="C98" s="130"/>
      <c r="D98" s="130"/>
      <c r="E98" s="130"/>
      <c r="F98" s="130"/>
      <c r="G98" s="130"/>
      <c r="H98" s="130"/>
      <c r="I98" s="130"/>
      <c r="J98" s="130"/>
      <c r="K98" s="1428" t="str">
        <f>IF(Spells!C100="","",Spells!C100)</f>
        <v>1 creat, 30', WIL, 1 hour</v>
      </c>
      <c r="L98" s="749"/>
      <c r="M98" s="1429"/>
      <c r="N98" s="1429"/>
      <c r="O98" s="1429"/>
      <c r="P98" s="1429"/>
      <c r="Q98" s="1430"/>
      <c r="R98" s="1431"/>
      <c r="S98" s="1432"/>
      <c r="T98" s="1433"/>
      <c r="U98" s="749"/>
      <c r="V98" s="1434"/>
      <c r="W98" s="1434"/>
      <c r="X98" s="1434"/>
      <c r="Y98" s="1434"/>
      <c r="Z98" s="1434"/>
      <c r="AA98" s="1435"/>
      <c r="AB98" s="838"/>
      <c r="AC98" s="637"/>
    </row>
    <row r="99" spans="1:29" s="627" customFormat="1" ht="19.5" customHeight="1" x14ac:dyDescent="0.25">
      <c r="A99" s="596"/>
      <c r="B99" s="1449" t="str">
        <f>IF(Spells!C54="","","["&amp;Spells!C54&amp;"] "&amp;Spells!C55&amp;" ["&amp;Spells!C57&amp;"]")</f>
        <v>[School Cantrip] Daze [2 (SV)]</v>
      </c>
      <c r="C99" s="1330"/>
      <c r="D99" s="1330"/>
      <c r="E99" s="1450"/>
      <c r="F99" s="1450"/>
      <c r="G99" s="1451"/>
      <c r="H99" s="1452"/>
      <c r="I99" s="1453"/>
      <c r="J99" s="130"/>
      <c r="K99" s="1436" t="str">
        <f>IF(Spells!C102="","","["&amp;Spells!C102&amp;"] "&amp;Spells!C103&amp;" ["&amp;Spells!C105&amp;"]")</f>
        <v>[School Level 1] Befuddle [2 (SV)]</v>
      </c>
      <c r="L99" s="749"/>
      <c r="M99" s="1429"/>
      <c r="N99" s="1429"/>
      <c r="O99" s="1429"/>
      <c r="P99" s="1429"/>
      <c r="Q99" s="1430"/>
      <c r="R99" s="1431"/>
      <c r="S99" s="1432"/>
      <c r="T99" s="1433"/>
      <c r="U99" s="749"/>
      <c r="V99" s="1434"/>
      <c r="W99" s="1434"/>
      <c r="X99" s="1434"/>
      <c r="Y99" s="1434"/>
      <c r="Z99" s="1434"/>
      <c r="AA99" s="1435"/>
      <c r="AB99" s="838"/>
      <c r="AC99" s="637"/>
    </row>
    <row r="100" spans="1:29" s="627" customFormat="1" ht="19.5" customHeight="1" x14ac:dyDescent="0.25">
      <c r="A100" s="596"/>
      <c r="B100" s="1454" t="str">
        <f>IF(Spells!C56="","",Spells!C56)</f>
        <v>1 creat, 60', 1 rd, 1d6+4 mental and WIL or stunned 1</v>
      </c>
      <c r="C100" s="1334"/>
      <c r="D100" s="1334"/>
      <c r="E100" s="1455"/>
      <c r="F100" s="1455"/>
      <c r="G100" s="1455"/>
      <c r="H100" s="1456"/>
      <c r="I100" s="1457"/>
      <c r="J100" s="130"/>
      <c r="K100" s="1428" t="str">
        <f>IF(Spells!C104="","",Spells!C104)</f>
        <v>1 creat, 30', WIL, 1 round, clumsy 1 &amp; stupefied 1</v>
      </c>
      <c r="L100" s="749"/>
      <c r="M100" s="1429"/>
      <c r="N100" s="1429"/>
      <c r="O100" s="1429"/>
      <c r="P100" s="1429"/>
      <c r="Q100" s="1430"/>
      <c r="R100" s="1431"/>
      <c r="S100" s="1432"/>
      <c r="T100" s="1433"/>
      <c r="U100" s="749"/>
      <c r="V100" s="1434"/>
      <c r="W100" s="1434"/>
      <c r="X100" s="1434"/>
      <c r="Y100" s="1434"/>
      <c r="Z100" s="1434"/>
      <c r="AA100" s="1435"/>
      <c r="AB100" s="838"/>
      <c r="AC100" s="637"/>
    </row>
    <row r="101" spans="1:29" s="627" customFormat="1" ht="19.5" customHeight="1" x14ac:dyDescent="0.25">
      <c r="A101" s="596"/>
      <c r="B101" s="1458" t="str">
        <f>IF(Spells!C58="","","["&amp;Spells!C58&amp;"] "&amp;Spells!C59&amp;" ["&amp;Spells!C61&amp;"]")</f>
        <v>[Cantrip] Acid Splash [2 (SV)]</v>
      </c>
      <c r="C101" s="1335"/>
      <c r="D101" s="1334"/>
      <c r="E101" s="1455"/>
      <c r="F101" s="1456"/>
      <c r="G101" s="1455"/>
      <c r="H101" s="1459"/>
      <c r="I101" s="1457"/>
      <c r="J101" s="130"/>
      <c r="K101" s="1436" t="str">
        <f>IF(Spells!C106="","","["&amp;Spells!C106&amp;"] "&amp;Spells!C107&amp;" ["&amp;Spells!C109&amp;"]")</f>
        <v>[Level 1] Mage Armor [2 (SV)]</v>
      </c>
      <c r="L101" s="749"/>
      <c r="M101" s="1429"/>
      <c r="N101" s="1429"/>
      <c r="O101" s="1429"/>
      <c r="P101" s="1429"/>
      <c r="Q101" s="1430"/>
      <c r="R101" s="1431"/>
      <c r="S101" s="1432"/>
      <c r="T101" s="1433"/>
      <c r="U101" s="749"/>
      <c r="V101" s="1434"/>
      <c r="W101" s="1434"/>
      <c r="X101" s="1434"/>
      <c r="Y101" s="1434"/>
      <c r="Z101" s="1434"/>
      <c r="AA101" s="1435"/>
      <c r="AB101" s="838"/>
      <c r="AC101" s="637"/>
    </row>
    <row r="102" spans="1:29" s="627" customFormat="1" ht="19.5" customHeight="1" x14ac:dyDescent="0.25">
      <c r="A102" s="596"/>
      <c r="B102" s="1454" t="str">
        <f>IF(Spells!C60="","",Spells!C60)</f>
        <v>1 creat, 30', att roll, 1d6+4, 2 acid spash, crit +2 persist</v>
      </c>
      <c r="C102" s="1460"/>
      <c r="D102" s="1334"/>
      <c r="E102" s="1455"/>
      <c r="F102" s="1456"/>
      <c r="G102" s="1455"/>
      <c r="H102" s="1456"/>
      <c r="I102" s="1457"/>
      <c r="J102" s="130"/>
      <c r="K102" s="1428" t="str">
        <f>IF(Spells!C108="","",Spells!C108)</f>
        <v>Day, +1 AC, max Dex +5, unarmored</v>
      </c>
      <c r="L102" s="749"/>
      <c r="M102" s="1429"/>
      <c r="N102" s="1429"/>
      <c r="O102" s="1429"/>
      <c r="P102" s="1429"/>
      <c r="Q102" s="1430"/>
      <c r="R102" s="1431"/>
      <c r="S102" s="1432"/>
      <c r="T102" s="1433"/>
      <c r="U102" s="749"/>
      <c r="V102" s="1434"/>
      <c r="W102" s="1434"/>
      <c r="X102" s="1434"/>
      <c r="Y102" s="1434"/>
      <c r="Z102" s="1434"/>
      <c r="AA102" s="1435"/>
      <c r="AB102" s="838"/>
      <c r="AC102" s="637"/>
    </row>
    <row r="103" spans="1:29" s="627" customFormat="1" ht="19.5" customHeight="1" x14ac:dyDescent="0.25">
      <c r="A103" s="596"/>
      <c r="B103" s="1458" t="str">
        <f>IF(Spells!C62="","","["&amp;Spells!C62&amp;"] "&amp;Spells!C63&amp;" ["&amp;Spells!C65&amp;"]")</f>
        <v>[Cantrip] Electric Arc [2 (SV)]</v>
      </c>
      <c r="C103" s="1335"/>
      <c r="D103" s="1334"/>
      <c r="E103" s="1455"/>
      <c r="F103" s="1456"/>
      <c r="G103" s="1455"/>
      <c r="H103" s="1459"/>
      <c r="I103" s="1457"/>
      <c r="J103" s="130"/>
      <c r="K103" s="1436" t="str">
        <f>IF(Spells!C110="","","["&amp;Spells!C110&amp;"] "&amp;Spells!C111&amp;" ["&amp;Spells!C113&amp;"]")</f>
        <v>[Level 1] Magic Missile [1 to 3 (SV)]</v>
      </c>
      <c r="L103" s="749"/>
      <c r="M103" s="1429"/>
      <c r="N103" s="1429"/>
      <c r="O103" s="1429"/>
      <c r="P103" s="1429"/>
      <c r="Q103" s="1430"/>
      <c r="R103" s="1431"/>
      <c r="S103" s="1432"/>
      <c r="T103" s="1433"/>
      <c r="U103" s="749"/>
      <c r="V103" s="1434"/>
      <c r="W103" s="1434"/>
      <c r="X103" s="1434"/>
      <c r="Y103" s="1434"/>
      <c r="Z103" s="1434"/>
      <c r="AA103" s="1435"/>
      <c r="AB103" s="838"/>
      <c r="AC103" s="637"/>
    </row>
    <row r="104" spans="1:29" s="627" customFormat="1" ht="19.5" customHeight="1" x14ac:dyDescent="0.25">
      <c r="A104" s="596"/>
      <c r="B104" s="1454" t="str">
        <f>IF(Spells!C64="","",Spells!C64)</f>
        <v>1 or 2 creat, 30', BREF, 3d4+4</v>
      </c>
      <c r="C104" s="1460"/>
      <c r="D104" s="1334"/>
      <c r="E104" s="1455"/>
      <c r="F104" s="1456"/>
      <c r="G104" s="1455"/>
      <c r="H104" s="1456"/>
      <c r="I104" s="1457"/>
      <c r="J104" s="130"/>
      <c r="K104" s="1428" t="str">
        <f>IF(Spells!C112="","",Spells!C112)</f>
        <v>1 to 3, d4+1 each</v>
      </c>
      <c r="L104" s="749"/>
      <c r="M104" s="1429"/>
      <c r="N104" s="1429"/>
      <c r="O104" s="1429"/>
      <c r="P104" s="1430"/>
      <c r="Q104" s="1430"/>
      <c r="R104" s="1431"/>
      <c r="S104" s="1432"/>
      <c r="T104" s="1433"/>
      <c r="U104" s="749"/>
      <c r="V104" s="1434"/>
      <c r="W104" s="1434"/>
      <c r="X104" s="1434"/>
      <c r="Y104" s="1434"/>
      <c r="Z104" s="1434"/>
      <c r="AA104" s="1435"/>
      <c r="AB104" s="838"/>
      <c r="AC104" s="637"/>
    </row>
    <row r="105" spans="1:29" s="627" customFormat="1" ht="19.5" customHeight="1" x14ac:dyDescent="0.25">
      <c r="A105" s="596"/>
      <c r="B105" s="1458" t="str">
        <f>IF(Spells!C66="","","["&amp;Spells!C66&amp;"] "&amp;Spells!C67&amp;" ["&amp;Spells!C69&amp;"]")</f>
        <v>[Cantrip] Produce Flame [2 (SV)]</v>
      </c>
      <c r="C105" s="1335"/>
      <c r="D105" s="1334"/>
      <c r="E105" s="1455"/>
      <c r="F105" s="1456"/>
      <c r="G105" s="1455"/>
      <c r="H105" s="1459"/>
      <c r="I105" s="1457"/>
      <c r="J105" s="130"/>
      <c r="K105" s="1436" t="str">
        <f>IF(Spells!C114="","","["&amp;Spells!C114&amp;"] "&amp;Spells!C115&amp;" ["&amp;Spells!C117&amp;"]")</f>
        <v>[School Level 1] Endure [1 (S)]</v>
      </c>
      <c r="L105" s="749"/>
      <c r="M105" s="1429"/>
      <c r="N105" s="1429"/>
      <c r="O105" s="1429"/>
      <c r="P105" s="1430"/>
      <c r="Q105" s="1430"/>
      <c r="R105" s="1431"/>
      <c r="S105" s="1432"/>
      <c r="T105" s="1433"/>
      <c r="U105" s="749"/>
      <c r="V105" s="1434"/>
      <c r="W105" s="1434"/>
      <c r="X105" s="1434"/>
      <c r="Y105" s="1434"/>
      <c r="Z105" s="1434"/>
      <c r="AA105" s="1435"/>
      <c r="AB105" s="838"/>
      <c r="AC105" s="637"/>
    </row>
    <row r="106" spans="1:29" s="627" customFormat="1" ht="19.5" customHeight="1" x14ac:dyDescent="0.25">
      <c r="A106" s="596"/>
      <c r="B106" s="1454" t="str">
        <f>IF(Spells!C68="","",Spells!C68)</f>
        <v>1 creat, 30', att roll, 3d4+4 fire, crit 4d4+4 &amp; 3d4 persit</v>
      </c>
      <c r="C106" s="1460"/>
      <c r="D106" s="1334"/>
      <c r="E106" s="1455"/>
      <c r="F106" s="1456"/>
      <c r="G106" s="1455"/>
      <c r="H106" s="1456"/>
      <c r="I106" s="1457"/>
      <c r="J106" s="130"/>
      <c r="K106" s="1428" t="str">
        <f>IF(Spells!C116="","",Spells!C116)</f>
        <v>1 creat, Touch, 1 rd, 5 temp HP</v>
      </c>
      <c r="L106" s="749"/>
      <c r="M106" s="1429"/>
      <c r="N106" s="1429"/>
      <c r="O106" s="1429"/>
      <c r="P106" s="1430"/>
      <c r="Q106" s="1430"/>
      <c r="R106" s="1431"/>
      <c r="S106" s="1432"/>
      <c r="T106" s="1433"/>
      <c r="U106" s="749"/>
      <c r="V106" s="1434"/>
      <c r="W106" s="1434"/>
      <c r="X106" s="1434"/>
      <c r="Y106" s="1434"/>
      <c r="Z106" s="1434"/>
      <c r="AA106" s="1435"/>
      <c r="AB106" s="838"/>
      <c r="AC106" s="637"/>
    </row>
    <row r="107" spans="1:29" s="627" customFormat="1" ht="19.5" customHeight="1" x14ac:dyDescent="0.25">
      <c r="A107" s="596"/>
      <c r="B107" s="1458" t="str">
        <f>IF(Spells!C70="","","["&amp;Spells!C70&amp;"] "&amp;Spells!C71&amp;" ["&amp;Spells!C73&amp;"]")</f>
        <v>[Cantrip] Ray of Frost [2 (SV)]</v>
      </c>
      <c r="C107" s="1335"/>
      <c r="D107" s="1334"/>
      <c r="E107" s="1455"/>
      <c r="F107" s="1456"/>
      <c r="G107" s="1455"/>
      <c r="H107" s="1459"/>
      <c r="I107" s="1457"/>
      <c r="J107" s="130"/>
      <c r="K107" s="1436" t="str">
        <f>IF(Spells!C118="","","["&amp;Spells!C118&amp;"] "&amp;Spells!C119&amp;" ["&amp;Spells!C121&amp;"]")</f>
        <v>[Level 1] Mud Pit [3 (MSV)]</v>
      </c>
      <c r="L107" s="749"/>
      <c r="M107" s="1429"/>
      <c r="N107" s="1429"/>
      <c r="O107" s="1429"/>
      <c r="P107" s="1430"/>
      <c r="Q107" s="1430"/>
      <c r="R107" s="1431"/>
      <c r="S107" s="1432"/>
      <c r="T107" s="1433"/>
      <c r="U107" s="749"/>
      <c r="V107" s="1434"/>
      <c r="W107" s="1434"/>
      <c r="X107" s="1434"/>
      <c r="Y107" s="1434"/>
      <c r="Z107" s="1434"/>
      <c r="AA107" s="1435"/>
      <c r="AB107" s="838"/>
      <c r="AC107" s="637"/>
    </row>
    <row r="108" spans="1:29" s="627" customFormat="1" ht="19.5" customHeight="1" x14ac:dyDescent="0.25">
      <c r="A108" s="596"/>
      <c r="B108" s="1454" t="str">
        <f>IF(Spells!C72="","",Spells!C72)</f>
        <v>1 creat, 120', att roll, 3d4+4 cold</v>
      </c>
      <c r="C108" s="1460"/>
      <c r="D108" s="1334"/>
      <c r="E108" s="1455"/>
      <c r="F108" s="1456"/>
      <c r="G108" s="1455"/>
      <c r="H108" s="1459"/>
      <c r="I108" s="1457"/>
      <c r="J108" s="130"/>
      <c r="K108" s="1428" t="str">
        <f>IF(Spells!C120="","",Spells!C120)</f>
        <v>60', 15' burst, 1 min, difficult terrain</v>
      </c>
      <c r="L108" s="749"/>
      <c r="M108" s="1429"/>
      <c r="N108" s="1429"/>
      <c r="O108" s="1429"/>
      <c r="P108" s="1430"/>
      <c r="Q108" s="1430"/>
      <c r="R108" s="1431"/>
      <c r="S108" s="1432"/>
      <c r="T108" s="1433"/>
      <c r="U108" s="749"/>
      <c r="V108" s="1434"/>
      <c r="W108" s="1434"/>
      <c r="X108" s="1434"/>
      <c r="Y108" s="1434"/>
      <c r="Z108" s="1434"/>
      <c r="AA108" s="1435"/>
      <c r="AB108" s="838"/>
      <c r="AC108" s="637"/>
    </row>
    <row r="109" spans="1:29" s="627" customFormat="1" ht="19.5" customHeight="1" x14ac:dyDescent="0.25">
      <c r="A109" s="596"/>
      <c r="B109" s="1458" t="str">
        <f>IF(Spells!C74="","","["&amp;Spells!C74&amp;"] "&amp;Spells!C75&amp;" ["&amp;Spells!C77&amp;"]")</f>
        <v>[Cantrip] Shield [1 (V)]</v>
      </c>
      <c r="C109" s="1335"/>
      <c r="D109" s="1334"/>
      <c r="E109" s="1455"/>
      <c r="F109" s="1455"/>
      <c r="G109" s="1455"/>
      <c r="H109" s="1459"/>
      <c r="I109" s="1457"/>
      <c r="J109" s="130"/>
      <c r="K109" s="1436" t="str">
        <f>IF(Spells!C122="","","["&amp;Spells!C122&amp;"] "&amp;Spells!C123&amp;" ["&amp;Spells!C125&amp;"]")</f>
        <v>[School Level 1] Sleep [2 (SV)]</v>
      </c>
      <c r="L109" s="749"/>
      <c r="M109" s="1429"/>
      <c r="N109" s="1429"/>
      <c r="O109" s="1429"/>
      <c r="P109" s="1430"/>
      <c r="Q109" s="1430"/>
      <c r="R109" s="1431"/>
      <c r="S109" s="1432"/>
      <c r="T109" s="1433"/>
      <c r="U109" s="749"/>
      <c r="V109" s="1434"/>
      <c r="W109" s="1434"/>
      <c r="X109" s="1434"/>
      <c r="Y109" s="1434"/>
      <c r="Z109" s="1434"/>
      <c r="AA109" s="1435"/>
      <c r="AB109" s="838"/>
      <c r="AC109" s="637"/>
    </row>
    <row r="110" spans="1:29" s="627" customFormat="1" ht="19.5" customHeight="1" x14ac:dyDescent="0.25">
      <c r="A110" s="596"/>
      <c r="B110" s="1454" t="str">
        <f>IF(Spells!C76="","",Spells!C76)</f>
        <v>+1 AC, until next turn, block hardness 10</v>
      </c>
      <c r="C110" s="1460"/>
      <c r="D110" s="1334"/>
      <c r="E110" s="1455"/>
      <c r="F110" s="1455"/>
      <c r="G110" s="1455"/>
      <c r="H110" s="1459"/>
      <c r="I110" s="1457"/>
      <c r="J110" s="130"/>
      <c r="K110" s="1428" t="str">
        <f>IF(Spells!C124="","",Spells!C124)</f>
        <v>30', 5' burst, WIL, unconscious 1min</v>
      </c>
      <c r="L110" s="749"/>
      <c r="M110" s="1429"/>
      <c r="N110" s="1429"/>
      <c r="O110" s="1429"/>
      <c r="P110" s="1430"/>
      <c r="Q110" s="1430"/>
      <c r="R110" s="1431"/>
      <c r="S110" s="1432"/>
      <c r="T110" s="1433"/>
      <c r="U110" s="749"/>
      <c r="V110" s="1434"/>
      <c r="W110" s="1434"/>
      <c r="X110" s="1434"/>
      <c r="Y110" s="1434"/>
      <c r="Z110" s="1434"/>
      <c r="AA110" s="1435"/>
      <c r="AB110" s="838"/>
      <c r="AC110" s="637"/>
    </row>
    <row r="111" spans="1:29" s="627" customFormat="1" ht="19.5" customHeight="1" x14ac:dyDescent="0.25">
      <c r="A111" s="596"/>
      <c r="B111" s="1458" t="str">
        <f>IF(Spells!C78="","","["&amp;Spells!C78&amp;"] "&amp;Spells!C79&amp;" ["&amp;Spells!C81&amp;"]")</f>
        <v>[Cantrip] Detect Magic [2 (SV)]</v>
      </c>
      <c r="C111" s="1335"/>
      <c r="D111" s="1334"/>
      <c r="E111" s="1455"/>
      <c r="F111" s="1455"/>
      <c r="G111" s="1455"/>
      <c r="H111" s="1459"/>
      <c r="I111" s="1457"/>
      <c r="J111" s="130"/>
      <c r="K111" s="1437" t="str">
        <f>IF(Spells!C126="","","["&amp;Spells!C126&amp;"] "&amp;Spells!C127&amp;" ["&amp;Spells!C129&amp;"]")</f>
        <v>[Level 1] Shockwave [2 (SV)]</v>
      </c>
      <c r="L111" s="749"/>
      <c r="M111" s="1429"/>
      <c r="N111" s="1429"/>
      <c r="O111" s="1429"/>
      <c r="P111" s="1430"/>
      <c r="Q111" s="1430"/>
      <c r="R111" s="1431"/>
      <c r="S111" s="1432"/>
      <c r="T111" s="1438"/>
      <c r="U111" s="749"/>
      <c r="V111" s="1434"/>
      <c r="W111" s="1434"/>
      <c r="X111" s="1434"/>
      <c r="Y111" s="1434"/>
      <c r="Z111" s="1434"/>
      <c r="AA111" s="1435"/>
      <c r="AB111" s="838"/>
      <c r="AC111" s="637"/>
    </row>
    <row r="112" spans="1:29" s="627" customFormat="1" ht="19.5" customHeight="1" x14ac:dyDescent="0.25">
      <c r="A112" s="596"/>
      <c r="B112" s="1454" t="str">
        <f>IF(Spells!C80="","",Spells!C80)</f>
        <v>30' emanation</v>
      </c>
      <c r="C112" s="1335"/>
      <c r="D112" s="1334"/>
      <c r="E112" s="1455"/>
      <c r="F112" s="1455"/>
      <c r="G112" s="1455"/>
      <c r="H112" s="1459"/>
      <c r="I112" s="1457"/>
      <c r="J112" s="130"/>
      <c r="K112" s="1428" t="str">
        <f>IF(Spells!C128="","",Spells!C128)</f>
        <v>15' cone, REF, prone</v>
      </c>
      <c r="L112" s="749"/>
      <c r="M112" s="1429"/>
      <c r="N112" s="1429"/>
      <c r="O112" s="1429"/>
      <c r="P112" s="1430"/>
      <c r="Q112" s="1430"/>
      <c r="R112" s="1431"/>
      <c r="S112" s="1432"/>
      <c r="T112" s="1438"/>
      <c r="U112" s="1439"/>
      <c r="V112" s="1434"/>
      <c r="W112" s="1434"/>
      <c r="X112" s="1434"/>
      <c r="Y112" s="1434"/>
      <c r="Z112" s="1434"/>
      <c r="AA112" s="1435"/>
      <c r="AB112" s="838"/>
      <c r="AC112" s="637"/>
    </row>
    <row r="113" spans="1:29" s="627" customFormat="1" ht="19.5" customHeight="1" x14ac:dyDescent="0.25">
      <c r="A113" s="596"/>
      <c r="B113" s="1458" t="str">
        <f>IF(Spells!C82="","","["&amp;Spells!C82&amp;"] "&amp;Spells!C83&amp;" ["&amp;Spells!C85&amp;"]")</f>
        <v>[Cantrip] Chill Touch [2 (SV)]</v>
      </c>
      <c r="C113" s="1335"/>
      <c r="D113" s="1334"/>
      <c r="E113" s="1455"/>
      <c r="F113" s="1455"/>
      <c r="G113" s="1455"/>
      <c r="H113" s="1459"/>
      <c r="I113" s="1457"/>
      <c r="J113" s="130"/>
      <c r="K113" s="1446" t="str">
        <f>IF(Spells!C130="","","["&amp;Spells!C130&amp;"] "&amp;Spells!C131&amp;" ["&amp;Spells!C133&amp;"]")</f>
        <v>[Level 2] Blood Vendetta  [R (V)]</v>
      </c>
      <c r="L113" s="749"/>
      <c r="M113" s="1429"/>
      <c r="N113" s="1429"/>
      <c r="O113" s="1429"/>
      <c r="P113" s="1430"/>
      <c r="Q113" s="1430"/>
      <c r="R113" s="1431"/>
      <c r="S113" s="1432"/>
      <c r="T113" s="1438"/>
      <c r="U113" s="1439"/>
      <c r="V113" s="1434"/>
      <c r="W113" s="1434"/>
      <c r="X113" s="1434"/>
      <c r="Y113" s="1434"/>
      <c r="Z113" s="1434"/>
      <c r="AA113" s="1435"/>
      <c r="AB113" s="838"/>
      <c r="AC113" s="637"/>
    </row>
    <row r="114" spans="1:29" s="627" customFormat="1" ht="19.5" customHeight="1" x14ac:dyDescent="0.25">
      <c r="A114" s="596"/>
      <c r="B114" s="1454" t="str">
        <f>IF(Spells!C84="","",Spells!C84)</f>
        <v>1 creat, Touch, FOR, 3d4+4 + special</v>
      </c>
      <c r="C114" s="1335"/>
      <c r="D114" s="1334"/>
      <c r="E114" s="1455"/>
      <c r="F114" s="1455"/>
      <c r="G114" s="1455"/>
      <c r="H114" s="1459"/>
      <c r="I114" s="1457"/>
      <c r="J114" s="130"/>
      <c r="K114" s="1428" t="str">
        <f>IF(Spells!C132="","",Spells!C132)</f>
        <v>Triggering creat, 30', WIL, 2d6 persist bleed</v>
      </c>
      <c r="L114" s="1439"/>
      <c r="M114" s="1429"/>
      <c r="N114" s="1429"/>
      <c r="O114" s="1429"/>
      <c r="P114" s="1430"/>
      <c r="Q114" s="1430"/>
      <c r="R114" s="1431"/>
      <c r="S114" s="1432"/>
      <c r="T114" s="1438"/>
      <c r="U114" s="1439"/>
      <c r="V114" s="1434"/>
      <c r="W114" s="1434"/>
      <c r="X114" s="1434"/>
      <c r="Y114" s="1434"/>
      <c r="Z114" s="1434"/>
      <c r="AA114" s="1435"/>
      <c r="AB114" s="838"/>
      <c r="AC114" s="637"/>
    </row>
    <row r="115" spans="1:29" s="627" customFormat="1" ht="19.5" customHeight="1" x14ac:dyDescent="0.25">
      <c r="A115" s="596"/>
      <c r="B115" s="1458" t="str">
        <f>IF(Spells!C86="","","["&amp;Spells!C86&amp;"] "&amp;Spells!C87&amp;" ["&amp;Spells!C89&amp;"]")</f>
        <v>[School Cantrip] Infectious Enthusiasm [2 (SV)]</v>
      </c>
      <c r="C115" s="1335"/>
      <c r="D115" s="1334"/>
      <c r="E115" s="1455"/>
      <c r="F115" s="1455"/>
      <c r="G115" s="1455"/>
      <c r="H115" s="1459"/>
      <c r="I115" s="1457"/>
      <c r="J115" s="130"/>
      <c r="K115" s="1437" t="str">
        <f>IF(Spells!C134="","","["&amp;Spells!C134&amp;"] "&amp;Spells!C135&amp;" ["&amp;Spells!C137&amp;"]")</f>
        <v>[Level 2] Deafness [2 (SV)]</v>
      </c>
      <c r="L115" s="1439"/>
      <c r="M115" s="1429"/>
      <c r="N115" s="1429"/>
      <c r="O115" s="1429"/>
      <c r="P115" s="1430"/>
      <c r="Q115" s="1430"/>
      <c r="R115" s="1431"/>
      <c r="S115" s="1432"/>
      <c r="T115" s="1438"/>
      <c r="U115" s="1439"/>
      <c r="V115" s="1434"/>
      <c r="W115" s="1434"/>
      <c r="X115" s="1434"/>
      <c r="Y115" s="1434"/>
      <c r="Z115" s="1434"/>
      <c r="AA115" s="1435"/>
      <c r="AB115" s="838"/>
      <c r="AC115" s="637"/>
    </row>
    <row r="116" spans="1:29" s="627" customFormat="1" ht="19.5" customHeight="1" x14ac:dyDescent="0.25">
      <c r="A116" s="596"/>
      <c r="B116" s="1454" t="str">
        <f>IF(Spells!C88="","",Spells!C88)</f>
        <v>1 rd, +1 att, WIL or Cha skills + ally within 30'</v>
      </c>
      <c r="C116" s="1335"/>
      <c r="D116" s="1334"/>
      <c r="E116" s="1455"/>
      <c r="F116" s="1455"/>
      <c r="G116" s="1455"/>
      <c r="H116" s="1459"/>
      <c r="I116" s="1457"/>
      <c r="J116" s="130"/>
      <c r="K116" s="1428" t="str">
        <f>IF(Spells!C136="","",Spells!C136)</f>
        <v>30', 1 creat, FOR, deaf 1 rd</v>
      </c>
      <c r="L116" s="1439"/>
      <c r="M116" s="1429"/>
      <c r="N116" s="1429"/>
      <c r="O116" s="1429"/>
      <c r="P116" s="1430"/>
      <c r="Q116" s="1430"/>
      <c r="R116" s="1431"/>
      <c r="S116" s="1432"/>
      <c r="T116" s="1438"/>
      <c r="U116" s="1439"/>
      <c r="V116" s="1434"/>
      <c r="W116" s="1434"/>
      <c r="X116" s="1434"/>
      <c r="Y116" s="1434"/>
      <c r="Z116" s="1434"/>
      <c r="AA116" s="1435"/>
      <c r="AB116" s="838"/>
      <c r="AC116" s="637"/>
    </row>
    <row r="117" spans="1:29" s="627" customFormat="1" ht="19.5" customHeight="1" x14ac:dyDescent="0.25">
      <c r="A117" s="596"/>
      <c r="B117" s="1458" t="str">
        <f>IF(Spells!C90="","","["&amp;Spells!C90&amp;"] "&amp;Spells!C91&amp;" ["&amp;Spells!C93&amp;"]")</f>
        <v>[Cantrip] Scatter Scree [2 (SV)]</v>
      </c>
      <c r="C117" s="1335"/>
      <c r="D117" s="1334"/>
      <c r="E117" s="1455"/>
      <c r="F117" s="1455"/>
      <c r="G117" s="1455"/>
      <c r="H117" s="1459"/>
      <c r="I117" s="1457"/>
      <c r="J117" s="130"/>
      <c r="K117" s="1437" t="str">
        <f>IF(Spells!C138="","","["&amp;Spells!C138&amp;"] "&amp;Spells!C139&amp;" ["&amp;Spells!C141&amp;"]")</f>
        <v>[Level 2] Mirror Image [2 (SV)]</v>
      </c>
      <c r="L117" s="1439"/>
      <c r="M117" s="1429"/>
      <c r="N117" s="1429"/>
      <c r="O117" s="1429"/>
      <c r="P117" s="1430"/>
      <c r="Q117" s="1430"/>
      <c r="R117" s="1431"/>
      <c r="S117" s="1432"/>
      <c r="T117" s="1438"/>
      <c r="U117" s="1439"/>
      <c r="V117" s="1434"/>
      <c r="W117" s="1434"/>
      <c r="X117" s="1434"/>
      <c r="Y117" s="1434"/>
      <c r="Z117" s="1434"/>
      <c r="AA117" s="1435"/>
      <c r="AB117" s="838"/>
      <c r="AC117" s="637"/>
    </row>
    <row r="118" spans="1:29" s="627" customFormat="1" ht="19.5" customHeight="1" x14ac:dyDescent="0.25">
      <c r="A118" s="596"/>
      <c r="B118" s="1454" t="str">
        <f>IF(Spells!C92="","",Spells!C92)</f>
        <v>30', 2 cases, 1min, BREF, 3d4+4 &amp; difficult terrain</v>
      </c>
      <c r="C118" s="1335"/>
      <c r="D118" s="1334"/>
      <c r="E118" s="1455"/>
      <c r="F118" s="1455"/>
      <c r="G118" s="1455"/>
      <c r="H118" s="1459"/>
      <c r="I118" s="1457"/>
      <c r="J118" s="130"/>
      <c r="K118" s="1428" t="str">
        <f>IF(Spells!C140="","",Spells!C140)</f>
        <v>You or familiar, 1 min, 3 images</v>
      </c>
      <c r="L118" s="1439"/>
      <c r="M118" s="1429"/>
      <c r="N118" s="1429"/>
      <c r="O118" s="1429"/>
      <c r="P118" s="1430"/>
      <c r="Q118" s="1430"/>
      <c r="R118" s="1431"/>
      <c r="S118" s="1432"/>
      <c r="T118" s="1438"/>
      <c r="U118" s="1439"/>
      <c r="V118" s="1434"/>
      <c r="W118" s="1434"/>
      <c r="X118" s="1434"/>
      <c r="Y118" s="1434"/>
      <c r="Z118" s="1434"/>
      <c r="AA118" s="1435"/>
      <c r="AB118" s="838"/>
      <c r="AC118" s="637"/>
    </row>
    <row r="119" spans="1:29" s="627" customFormat="1" ht="19.5" customHeight="1" x14ac:dyDescent="0.25">
      <c r="A119" s="596"/>
      <c r="B119" s="1458" t="str">
        <f>IF(Spells!C94="","","["&amp;Spells!C94&amp;"] "&amp;Spells!C95&amp;" ["&amp;Spells!C97&amp;"]")</f>
        <v>[Cantrip] Mage Hand [2 (SV)]</v>
      </c>
      <c r="C119" s="1335"/>
      <c r="D119" s="1334"/>
      <c r="E119" s="1455"/>
      <c r="F119" s="1455"/>
      <c r="G119" s="1455"/>
      <c r="H119" s="1459"/>
      <c r="I119" s="1457"/>
      <c r="J119" s="130"/>
      <c r="K119" s="1437" t="str">
        <f>IF(Spells!C142="","","["&amp;Spells!C142&amp;"] "&amp;Spells!C143&amp;" ["&amp;Spells!C145&amp;"]")</f>
        <v>[Level 2] Spectral Hand [2 (SV)]</v>
      </c>
      <c r="L119" s="1439"/>
      <c r="M119" s="1429"/>
      <c r="N119" s="1429"/>
      <c r="O119" s="1429"/>
      <c r="P119" s="1430"/>
      <c r="Q119" s="1430"/>
      <c r="R119" s="1431"/>
      <c r="S119" s="1432"/>
      <c r="T119" s="1438"/>
      <c r="U119" s="1439"/>
      <c r="V119" s="1434"/>
      <c r="W119" s="1434"/>
      <c r="X119" s="1434"/>
      <c r="Y119" s="1434"/>
      <c r="Z119" s="1434"/>
      <c r="AA119" s="1435"/>
      <c r="AB119" s="838"/>
      <c r="AC119" s="637"/>
    </row>
    <row r="120" spans="1:29" s="627" customFormat="1" ht="19.5" customHeight="1" x14ac:dyDescent="0.25">
      <c r="A120" s="596"/>
      <c r="B120" s="1461" t="str">
        <f>IF(Spells!C96="","",Spells!C96)</f>
        <v>1 object, 30', sustained, LB, 20'</v>
      </c>
      <c r="C120" s="1338"/>
      <c r="D120" s="1462"/>
      <c r="E120" s="1463"/>
      <c r="F120" s="1463"/>
      <c r="G120" s="1463"/>
      <c r="H120" s="1464"/>
      <c r="I120" s="1465"/>
      <c r="J120" s="130"/>
      <c r="K120" s="1428" t="str">
        <f>IF(Spells!C144="","",Spells!C144)</f>
        <v>120', 1 min</v>
      </c>
      <c r="L120" s="1439"/>
      <c r="M120" s="1429"/>
      <c r="N120" s="1429"/>
      <c r="O120" s="1429"/>
      <c r="P120" s="1430"/>
      <c r="Q120" s="1430"/>
      <c r="R120" s="1431"/>
      <c r="S120" s="1432"/>
      <c r="T120" s="1438"/>
      <c r="U120" s="1439"/>
      <c r="V120" s="1434"/>
      <c r="W120" s="1434"/>
      <c r="X120" s="1434"/>
      <c r="Y120" s="1434"/>
      <c r="Z120" s="1434"/>
      <c r="AA120" s="1435"/>
      <c r="AB120" s="838"/>
      <c r="AC120" s="637"/>
    </row>
    <row r="121" spans="1:29" s="627" customFormat="1" ht="19.5" customHeight="1" x14ac:dyDescent="0.25">
      <c r="A121" s="596"/>
      <c r="C121" s="838"/>
      <c r="D121" s="130"/>
      <c r="E121" s="130"/>
      <c r="F121" s="130"/>
      <c r="G121" s="130"/>
      <c r="H121" s="130"/>
      <c r="I121" s="130"/>
      <c r="J121" s="130"/>
      <c r="K121" s="1437" t="str">
        <f>IF(Spells!C146="","","["&amp;Spells!C146&amp;"] "&amp;Spells!C147&amp;" ["&amp;Spells!C149&amp;"]")</f>
        <v>[School Level 2] Warrior's Regret [2 (SV)]</v>
      </c>
      <c r="L121" s="1439"/>
      <c r="M121" s="1434"/>
      <c r="N121" s="1434"/>
      <c r="O121" s="1434"/>
      <c r="P121" s="1434"/>
      <c r="Q121" s="1434"/>
      <c r="R121" s="1435"/>
      <c r="S121" s="1432"/>
      <c r="T121" s="1438"/>
      <c r="U121" s="1439"/>
      <c r="V121" s="1434"/>
      <c r="W121" s="1434"/>
      <c r="X121" s="1434"/>
      <c r="Y121" s="1434"/>
      <c r="Z121" s="1434"/>
      <c r="AA121" s="1435"/>
      <c r="AB121" s="838"/>
      <c r="AC121" s="637"/>
    </row>
    <row r="122" spans="1:29" s="627" customFormat="1" ht="19.5" customHeight="1" x14ac:dyDescent="0.25">
      <c r="A122" s="596"/>
      <c r="B122" s="676" t="s">
        <v>558</v>
      </c>
      <c r="C122" s="457"/>
      <c r="D122" s="496"/>
      <c r="E122" s="457"/>
      <c r="F122" s="456"/>
      <c r="G122" s="496"/>
      <c r="H122" s="495"/>
      <c r="I122" s="456"/>
      <c r="J122" s="130"/>
      <c r="K122" s="1428" t="str">
        <f>IF(Spells!C148="","",Spells!C148)</f>
        <v>1 creat, Touch, WIL, 1d8/creat. damaged</v>
      </c>
      <c r="L122" s="1439"/>
      <c r="M122" s="1434"/>
      <c r="N122" s="1434"/>
      <c r="O122" s="1434"/>
      <c r="P122" s="1434"/>
      <c r="Q122" s="1434"/>
      <c r="R122" s="1435"/>
      <c r="S122" s="1432"/>
      <c r="T122" s="1438"/>
      <c r="U122" s="1439"/>
      <c r="V122" s="1434"/>
      <c r="W122" s="1434"/>
      <c r="X122" s="1434"/>
      <c r="Y122" s="1434"/>
      <c r="Z122" s="1434"/>
      <c r="AA122" s="1435"/>
      <c r="AB122" s="838"/>
      <c r="AC122" s="637"/>
    </row>
    <row r="123" spans="1:29" s="627" customFormat="1" ht="19.5" customHeight="1" x14ac:dyDescent="0.25">
      <c r="A123" s="596"/>
      <c r="B123" s="1482" t="str">
        <f>IF(Spells!C37="","","["&amp;Spells!C37&amp;"] "&amp;Spells!C38&amp;" ["&amp;Spells!C40&amp;"]")</f>
        <v/>
      </c>
      <c r="C123" s="1466"/>
      <c r="D123" s="706"/>
      <c r="E123" s="706"/>
      <c r="F123" s="706"/>
      <c r="G123" s="706"/>
      <c r="H123" s="1483"/>
      <c r="I123" s="708"/>
      <c r="J123" s="130"/>
      <c r="K123" s="1437" t="str">
        <f>IF(Spells!C150="","","["&amp;Spells!C150&amp;"] "&amp;Spells!C151&amp;" ["&amp;Spells!C153&amp;"]")</f>
        <v>[School Level 3] Mind of Menace [10min (MSV) &gt; R]</v>
      </c>
      <c r="L123" s="1439"/>
      <c r="M123" s="1434"/>
      <c r="N123" s="1434"/>
      <c r="O123" s="1434"/>
      <c r="P123" s="1434"/>
      <c r="Q123" s="1434"/>
      <c r="R123" s="1435"/>
      <c r="S123" s="1432"/>
      <c r="T123" s="1438"/>
      <c r="U123" s="1439"/>
      <c r="V123" s="1434"/>
      <c r="W123" s="1434"/>
      <c r="X123" s="1434"/>
      <c r="Y123" s="1434"/>
      <c r="Z123" s="1434"/>
      <c r="AA123" s="1435"/>
      <c r="AB123" s="838"/>
      <c r="AC123" s="637"/>
    </row>
    <row r="124" spans="1:29" s="627" customFormat="1" ht="19.5" customHeight="1" x14ac:dyDescent="0.25">
      <c r="A124" s="596"/>
      <c r="B124" s="1484" t="str">
        <f>IF(Spells!C39="","",Spells!C39)</f>
        <v/>
      </c>
      <c r="C124" s="1485"/>
      <c r="D124" s="1485"/>
      <c r="E124" s="1485"/>
      <c r="F124" s="1485"/>
      <c r="G124" s="1485"/>
      <c r="H124" s="1486"/>
      <c r="I124" s="1487"/>
      <c r="J124" s="130"/>
      <c r="K124" s="1447" t="str">
        <f>IF(Spells!C152="","",Spells!C152)</f>
        <v>24 hours, Fight with Fear reaction</v>
      </c>
      <c r="L124" s="1439"/>
      <c r="M124" s="1434"/>
      <c r="N124" s="1434"/>
      <c r="O124" s="1434"/>
      <c r="P124" s="1434"/>
      <c r="Q124" s="1434"/>
      <c r="R124" s="1435"/>
      <c r="S124" s="1432"/>
      <c r="T124" s="1438"/>
      <c r="U124" s="1439"/>
      <c r="V124" s="1434"/>
      <c r="W124" s="1434"/>
      <c r="X124" s="1434"/>
      <c r="Y124" s="1434"/>
      <c r="Z124" s="1434"/>
      <c r="AA124" s="1435"/>
      <c r="AB124" s="838"/>
      <c r="AC124" s="637"/>
    </row>
    <row r="125" spans="1:29" s="627" customFormat="1" ht="19.5" customHeight="1" x14ac:dyDescent="0.25">
      <c r="A125" s="596"/>
      <c r="B125" s="1488" t="str">
        <f>IF(Spells!C41="","","["&amp;Spells!C41&amp;"] "&amp;Spells!C42&amp;" ["&amp;Spells!C44&amp;"]")</f>
        <v/>
      </c>
      <c r="C125" s="1485"/>
      <c r="D125" s="1485"/>
      <c r="E125" s="1485"/>
      <c r="F125" s="1485"/>
      <c r="G125" s="1485"/>
      <c r="H125" s="1489"/>
      <c r="I125" s="1487"/>
      <c r="J125" s="130"/>
      <c r="K125" s="1437" t="str">
        <f>IF(Spells!C154="","","["&amp;Spells!C154&amp;"] "&amp;Spells!C155&amp;" ["&amp;Spells!C157&amp;"]")</f>
        <v>[School Level 3] Paralyze [2 (SV)]</v>
      </c>
      <c r="L125" s="1439"/>
      <c r="M125" s="1434"/>
      <c r="N125" s="1434"/>
      <c r="O125" s="1434"/>
      <c r="P125" s="1434"/>
      <c r="Q125" s="1434"/>
      <c r="R125" s="1435"/>
      <c r="S125" s="1432"/>
      <c r="T125" s="1438"/>
      <c r="U125" s="1439"/>
      <c r="V125" s="1434"/>
      <c r="W125" s="1434"/>
      <c r="X125" s="1434"/>
      <c r="Y125" s="1434"/>
      <c r="Z125" s="1434"/>
      <c r="AA125" s="1435"/>
      <c r="AB125" s="838"/>
      <c r="AC125" s="637"/>
    </row>
    <row r="126" spans="1:29" s="627" customFormat="1" ht="19.5" customHeight="1" x14ac:dyDescent="0.25">
      <c r="A126" s="596"/>
      <c r="B126" s="1490" t="str">
        <f>IF(Spells!C43="","",Spells!C43)</f>
        <v/>
      </c>
      <c r="C126" s="711"/>
      <c r="D126" s="711"/>
      <c r="E126" s="711"/>
      <c r="F126" s="711"/>
      <c r="G126" s="711"/>
      <c r="H126" s="1420"/>
      <c r="I126" s="713"/>
      <c r="J126" s="130"/>
      <c r="K126" s="1447" t="str">
        <f>IF(Spells!C156="","",Spells!C156)</f>
        <v xml:space="preserve">1 creat, 30', WIL, Stunned 1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s="627" customFormat="1" ht="19.5" customHeight="1" x14ac:dyDescent="0.25">
      <c r="A127" s="596"/>
      <c r="C127" s="838"/>
      <c r="D127" s="130"/>
      <c r="E127" s="130"/>
      <c r="F127" s="130"/>
      <c r="G127" s="130"/>
      <c r="H127" s="130"/>
      <c r="I127" s="130"/>
      <c r="J127" s="130"/>
      <c r="K127" s="1437" t="str">
        <f>IF(Spells!C158="","","["&amp;Spells!C158&amp;"] "&amp;Spells!C159&amp;" ["&amp;Spells!C161&amp;"]")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s="627" customFormat="1" ht="19.5" customHeight="1" x14ac:dyDescent="0.25">
      <c r="A128" s="596"/>
      <c r="B128" s="495" t="s">
        <v>164</v>
      </c>
      <c r="C128" s="457"/>
      <c r="D128" s="495" t="s">
        <v>560</v>
      </c>
      <c r="E128" s="130"/>
      <c r="F128" s="130"/>
      <c r="G128" s="130"/>
      <c r="H128" s="130"/>
      <c r="I128" s="130"/>
      <c r="J128" s="130"/>
      <c r="K128" s="1447" t="str">
        <f>IF(Spells!C160="","",Spells!C160)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s="627" customFormat="1" ht="19.5" customHeight="1" x14ac:dyDescent="0.3">
      <c r="A129" s="596"/>
      <c r="B129" s="770">
        <f>IF(Spells!C45="","",Spells!C45)</f>
        <v>1</v>
      </c>
      <c r="C129" s="130"/>
      <c r="D129" s="497"/>
      <c r="E129" s="130"/>
      <c r="F129" s="130"/>
      <c r="G129" s="130"/>
      <c r="H129" s="130"/>
      <c r="I129" s="130"/>
      <c r="J129" s="130"/>
      <c r="K129" s="1437" t="str">
        <f>IF(Spells!C162="","","["&amp;Spells!C162&amp;"] "&amp;Spells!C163&amp;" ["&amp;Spells!C165&amp;"]")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s="627" customFormat="1" ht="19.5" customHeight="1" x14ac:dyDescent="0.25">
      <c r="A130" s="596"/>
      <c r="B130" s="676" t="s">
        <v>559</v>
      </c>
      <c r="C130" s="457"/>
      <c r="D130" s="496"/>
      <c r="E130" s="457"/>
      <c r="F130" s="456"/>
      <c r="G130" s="496"/>
      <c r="H130" s="495"/>
      <c r="I130" s="456"/>
      <c r="J130" s="130"/>
      <c r="K130" s="1447" t="str">
        <f>IF(Spells!C164="","",Spells!C164)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s="627" customFormat="1" ht="19.5" customHeight="1" x14ac:dyDescent="0.25">
      <c r="A131" s="596"/>
      <c r="B131" s="1467" t="str">
        <f>IF(Spells!C46="","","["&amp;Spells!C46&amp;"] "&amp;Spells!C47&amp;" ["&amp;Spells!C49&amp;"]")</f>
        <v>[Focus 1] School = Charming Words [1 (S)]</v>
      </c>
      <c r="C131" s="1468"/>
      <c r="D131" s="1469"/>
      <c r="E131" s="1470"/>
      <c r="F131" s="1470"/>
      <c r="G131" s="1470"/>
      <c r="H131" s="1470"/>
      <c r="I131" s="1471"/>
      <c r="J131" s="130"/>
      <c r="K131" s="1437" t="str">
        <f>IF(Spells!C166="","","["&amp;Spells!C166&amp;"] "&amp;Spells!C167&amp;" ["&amp;Spells!C169&amp;"]")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s="627" customFormat="1" ht="19.5" customHeight="1" x14ac:dyDescent="0.25">
      <c r="A132" s="596"/>
      <c r="B132" s="1472" t="str">
        <f>IF(Spells!C48="","",Spells!C48)</f>
        <v>1 creat, 30', until next turn, WIL, -1 att/dam against you</v>
      </c>
      <c r="C132" s="1473"/>
      <c r="D132" s="1474"/>
      <c r="E132" s="1474"/>
      <c r="F132" s="1474"/>
      <c r="G132" s="1474"/>
      <c r="H132" s="1473"/>
      <c r="I132" s="1475"/>
      <c r="J132" s="130"/>
      <c r="K132" s="1447" t="str">
        <f>IF(Spells!C168="","",Spells!C168)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s="627" customFormat="1" ht="19.5" customHeight="1" x14ac:dyDescent="0.25">
      <c r="A133" s="596"/>
      <c r="B133" s="1476" t="str">
        <f>IF(Spells!C50="","","["&amp;Spells!C50&amp;"] "&amp;Spells!C51&amp;" ["&amp;Spells!C53&amp;"]")</f>
        <v/>
      </c>
      <c r="C133" s="1477"/>
      <c r="D133" s="1474"/>
      <c r="E133" s="1474"/>
      <c r="F133" s="1474"/>
      <c r="G133" s="1474"/>
      <c r="H133" s="1474"/>
      <c r="I133" s="1475"/>
      <c r="J133" s="130"/>
      <c r="K133" s="1437" t="str">
        <f>IF(Spells!C170="","","["&amp;Spells!C170&amp;"] "&amp;Spells!C171&amp;" ["&amp;Spells!C173&amp;"]")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s="627" customFormat="1" ht="19.5" customHeight="1" x14ac:dyDescent="0.25">
      <c r="A134" s="596"/>
      <c r="B134" s="1478" t="str">
        <f>IF(Spells!C52="","",Spells!C52)</f>
        <v/>
      </c>
      <c r="C134" s="1479"/>
      <c r="D134" s="1480"/>
      <c r="E134" s="1480"/>
      <c r="F134" s="1480"/>
      <c r="G134" s="1480"/>
      <c r="H134" s="1479"/>
      <c r="I134" s="1481"/>
      <c r="J134" s="130"/>
      <c r="K134" s="1448" t="str">
        <f>IF(Spells!C172="","",Spells!C172)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s="627" customFormat="1" ht="19.5" customHeight="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customHeight="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IF(Création!C12="","",Création!C12)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Création!C5</f>
        <v>M</v>
      </c>
      <c r="I139" s="1492"/>
      <c r="J139" s="454"/>
      <c r="K139" s="1497" t="str">
        <f>IF(Création!C13="","",Création!C13)</f>
        <v>Elven</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IF(Création!C14="","",Création!C14)</f>
        <v>INT 18 = Dwarven</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IF(Création!C15="","",Création!C15)</f>
        <v>INT 18 = Sylvan</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IF(Création!C16="","",Création!C16)</f>
        <v>INT 18 = Celestial</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IF(Création!C17="","",Création!C17)</f>
        <v>INT 18 = Goblin</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9.5" customHeight="1"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15" x14ac:dyDescent="0.25">
      <c r="A145" s="656"/>
      <c r="B145" s="1547" t="str">
        <f>'Equipment Combat'!C533</f>
        <v xml:space="preserve">  </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Création!C37</f>
        <v xml:space="preserve">  </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9.5" customHeight="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9.5" customHeight="1" x14ac:dyDescent="0.25">
      <c r="A149" s="656"/>
      <c r="B149" s="1410" t="str">
        <f>IF(Minions!C87="","",Minions!C87)</f>
        <v>Gravlax : Familiar, Cat, Animal, Minion of  Zabraarallongex</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9.5" customHeight="1" x14ac:dyDescent="0.25">
      <c r="A150" s="656"/>
      <c r="B150" s="1414" t="str">
        <f>IF(Minions!C88="","",Minions!C88)</f>
        <v>Tiny, Level 5, Align. N, Low-light vision, Speed 25'</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9.5" customHeight="1" x14ac:dyDescent="0.25">
      <c r="A151" s="656"/>
      <c r="B151" s="1414" t="str">
        <f>IF(Minions!C89="","",Minions!C89)</f>
        <v>HP 25, AC 20, PER 9, FOR 10, REF 11, WIL 12</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9.5" customHeight="1" x14ac:dyDescent="0.25">
      <c r="A152" s="656"/>
      <c r="B152" s="1414" t="str">
        <f>IF(Minions!C90="","",Minions!C90)</f>
        <v xml:space="preserve">Acrobatics 9, Arcana 11, Crafting 11, Lore 11, Occultism 11, Society 11, Stealth 9,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9.5" customHeight="1" x14ac:dyDescent="0.25">
      <c r="A153" s="656"/>
      <c r="B153" s="1418" t="str">
        <f>IF(Minions!C91="","",Minions!C91)</f>
        <v>Low-light vision, Scent, Damage Avoidance (REF), Fast Movement (40'), Spell Delivery</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9.5" customHeight="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O23:P23"/>
    <mergeCell ref="R62:W62"/>
    <mergeCell ref="I7:J7"/>
    <mergeCell ref="K7:L7"/>
    <mergeCell ref="M7:N7"/>
    <mergeCell ref="O17:Q17"/>
    <mergeCell ref="S9:U9"/>
    <mergeCell ref="B147:AB147"/>
    <mergeCell ref="G24:H24"/>
    <mergeCell ref="J9:K9"/>
    <mergeCell ref="E18:F18"/>
    <mergeCell ref="O18:P18"/>
    <mergeCell ref="E19:F19"/>
    <mergeCell ref="O19:P19"/>
    <mergeCell ref="E20:F20"/>
    <mergeCell ref="O20:P20"/>
    <mergeCell ref="E21:F21"/>
    <mergeCell ref="O21:P21"/>
    <mergeCell ref="E22:F22"/>
    <mergeCell ref="X62:AB62"/>
    <mergeCell ref="O22:P22"/>
    <mergeCell ref="E23:F23"/>
    <mergeCell ref="B145:AB145"/>
  </mergeCells>
  <conditionalFormatting sqref="R62:W62">
    <cfRule type="containsText" dxfId="34" priority="3" operator="containsText" text="Cannot">
      <formula>NOT(ISERROR(SEARCH("Cannot",R62)))</formula>
    </cfRule>
    <cfRule type="containsText" dxfId="33" priority="4" operator="containsText" text="Encumbered">
      <formula>NOT(ISERROR(SEARCH("Encumbered",R62)))</formula>
    </cfRule>
    <cfRule type="containsText" dxfId="32" priority="5" operator="containsText" text="Fine">
      <formula>NOT(ISERROR(SEARCH("Fine",R62)))</formula>
    </cfRule>
  </conditionalFormatting>
  <conditionalFormatting sqref="X62">
    <cfRule type="containsText" dxfId="31" priority="1" operator="containsText" text="Overloaded">
      <formula>NOT(ISERROR(SEARCH("Overloaded",X62)))</formula>
    </cfRule>
    <cfRule type="containsText" dxfId="30" priority="2" operator="containsText" text="OK">
      <formula>NOT(ISERROR(SEARCH("OK",X62)))</formula>
    </cfRule>
  </conditionalFormatting>
  <hyperlinks>
    <hyperlink ref="D1" r:id="rId1" location="id=2533454" display="Zabraarallongex" xr:uid="{AE3BF7A4-A882-4C32-8732-36D0D0B19B19}"/>
  </hyperlinks>
  <pageMargins left="0.25" right="0.25" top="0.75" bottom="0.75" header="0.3" footer="0.3"/>
  <pageSetup paperSize="9" scale="69" orientation="portrait" horizontalDpi="360" verticalDpi="36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FDC4-0D18-4A67-AE1E-FD5A6C62EA72}">
  <sheetPr>
    <pageSetUpPr fitToPage="1"/>
  </sheetPr>
  <dimension ref="A1:AC160"/>
  <sheetViews>
    <sheetView showGridLines="0" tabSelected="1" workbookViewId="0">
      <pane ySplit="2" topLeftCell="A9" activePane="bottomLeft" state="frozen"/>
      <selection activeCell="T8" sqref="T8"/>
      <selection pane="bottomLeft" activeCell="B22" sqref="B22"/>
    </sheetView>
  </sheetViews>
  <sheetFormatPr baseColWidth="10" defaultColWidth="5.7109375" defaultRowHeight="19.5" customHeight="1" outlineLevelRow="1" x14ac:dyDescent="0.25"/>
  <cols>
    <col min="1" max="22" width="5.7109375" style="627"/>
    <col min="23" max="23" width="7.5703125" style="627" bestFit="1" customWidth="1"/>
    <col min="24" max="16384" width="5.7109375" style="627"/>
  </cols>
  <sheetData>
    <row r="1" spans="1:29" ht="19.5" customHeight="1" x14ac:dyDescent="0.25">
      <c r="A1" s="629"/>
      <c r="B1" s="630" t="s">
        <v>487</v>
      </c>
      <c r="C1" s="631"/>
      <c r="D1" s="823" t="s">
        <v>659</v>
      </c>
      <c r="E1" s="631"/>
      <c r="F1" s="631"/>
      <c r="G1" s="630" t="s">
        <v>488</v>
      </c>
      <c r="H1" s="631"/>
      <c r="I1" s="631" t="str">
        <f>Création!D1</f>
        <v>Patrick</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Création!D3</f>
        <v>Bard</v>
      </c>
      <c r="E2" s="498"/>
      <c r="F2" s="498"/>
      <c r="G2" s="494" t="s">
        <v>26</v>
      </c>
      <c r="H2" s="498"/>
      <c r="I2" s="498" t="str">
        <f>Création!D6</f>
        <v>Half-Orc</v>
      </c>
      <c r="J2" s="498"/>
      <c r="K2" s="498"/>
      <c r="L2" s="498"/>
      <c r="M2" s="790"/>
      <c r="N2" s="498"/>
      <c r="O2" s="498"/>
      <c r="P2" s="494" t="s">
        <v>42</v>
      </c>
      <c r="Q2" s="498"/>
      <c r="R2" s="498" t="str">
        <f>Création!D7</f>
        <v>Artist</v>
      </c>
      <c r="S2" s="498"/>
      <c r="T2" s="498"/>
      <c r="U2" s="498"/>
      <c r="V2" s="498"/>
      <c r="W2" s="498"/>
      <c r="X2" s="498"/>
      <c r="Y2" s="498"/>
      <c r="Z2" s="498"/>
      <c r="AA2" s="498"/>
      <c r="AB2" s="437"/>
      <c r="AC2" s="637"/>
    </row>
    <row r="3" spans="1:29" ht="19.5" customHeight="1" x14ac:dyDescent="0.3">
      <c r="A3" s="638"/>
      <c r="B3" s="438" t="s">
        <v>490</v>
      </c>
      <c r="C3" s="439"/>
      <c r="D3" s="440">
        <f>'Dés de vie'!D13</f>
        <v>5</v>
      </c>
      <c r="E3" s="439"/>
      <c r="F3" s="439"/>
      <c r="G3" s="438" t="s">
        <v>205</v>
      </c>
      <c r="H3" s="439"/>
      <c r="I3" s="439" t="str">
        <f>Création!D28</f>
        <v>Medium</v>
      </c>
      <c r="J3" s="439"/>
      <c r="K3" s="438" t="s">
        <v>491</v>
      </c>
      <c r="L3" s="439"/>
      <c r="M3" s="439" t="str">
        <f>Création!D9</f>
        <v>Abadar</v>
      </c>
      <c r="N3" s="439"/>
      <c r="O3" s="439"/>
      <c r="P3" s="438" t="s">
        <v>159</v>
      </c>
      <c r="Q3" s="439"/>
      <c r="R3" s="439" t="str">
        <f>Création!D8</f>
        <v>LN</v>
      </c>
      <c r="S3" s="439"/>
      <c r="T3" s="439"/>
      <c r="U3" s="439"/>
      <c r="V3" s="441"/>
      <c r="W3" s="441"/>
      <c r="X3" s="441"/>
      <c r="Y3" s="439"/>
      <c r="Z3" s="439"/>
      <c r="AA3" s="439"/>
      <c r="AB3" s="442"/>
      <c r="AC3" s="637"/>
    </row>
    <row r="4" spans="1:29" s="450" customFormat="1" ht="19.5" customHeight="1" x14ac:dyDescent="0.3">
      <c r="A4" s="639"/>
      <c r="B4" s="789" t="s">
        <v>492</v>
      </c>
      <c r="C4" s="789"/>
      <c r="D4" s="789"/>
      <c r="E4" s="789"/>
      <c r="F4" s="789"/>
      <c r="G4" s="789"/>
      <c r="H4" s="789"/>
      <c r="I4" s="1317" t="s">
        <v>493</v>
      </c>
      <c r="J4" s="1317"/>
      <c r="K4" s="789"/>
      <c r="L4" s="789"/>
      <c r="M4" s="641"/>
      <c r="N4" s="641"/>
      <c r="O4" s="641"/>
      <c r="P4" s="789"/>
      <c r="Q4" s="789"/>
      <c r="R4" s="789"/>
      <c r="S4" s="789"/>
      <c r="T4" s="789"/>
      <c r="U4" s="789"/>
      <c r="V4" s="641"/>
      <c r="W4" s="789" t="s">
        <v>494</v>
      </c>
      <c r="X4" s="789"/>
      <c r="Y4" s="789"/>
      <c r="Z4" s="789"/>
      <c r="AA4" s="789"/>
      <c r="AB4" s="789"/>
      <c r="AC4" s="642"/>
    </row>
    <row r="5" spans="1:29" ht="19.5" customHeight="1" x14ac:dyDescent="0.25">
      <c r="A5" s="636"/>
      <c r="B5" s="489" t="s">
        <v>79</v>
      </c>
      <c r="C5" s="489" t="s">
        <v>495</v>
      </c>
      <c r="D5" s="489" t="s">
        <v>496</v>
      </c>
      <c r="E5" s="489" t="s">
        <v>79</v>
      </c>
      <c r="F5" s="489" t="s">
        <v>495</v>
      </c>
      <c r="G5" s="489" t="s">
        <v>496</v>
      </c>
      <c r="H5" s="790"/>
      <c r="I5" s="782">
        <f>'Dés de vie'!D16</f>
        <v>58</v>
      </c>
      <c r="J5" s="1401"/>
      <c r="K5" s="498"/>
      <c r="L5" s="498"/>
      <c r="M5" s="494"/>
      <c r="N5" s="790"/>
      <c r="O5" s="7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Stats!D2</f>
        <v>14</v>
      </c>
      <c r="D6" s="1385">
        <f>Stats!D11</f>
        <v>2</v>
      </c>
      <c r="E6" s="1386" t="s">
        <v>11</v>
      </c>
      <c r="F6" s="1385">
        <f>Stats!D3</f>
        <v>14</v>
      </c>
      <c r="G6" s="1387">
        <f>Stats!D12</f>
        <v>2</v>
      </c>
      <c r="H6" s="790"/>
      <c r="I6" s="789" t="s">
        <v>497</v>
      </c>
      <c r="J6" s="790"/>
      <c r="K6" s="790"/>
      <c r="L6" s="489"/>
      <c r="M6" s="790" t="s">
        <v>644</v>
      </c>
      <c r="N6" s="489"/>
      <c r="O6" s="790"/>
      <c r="P6" s="790"/>
      <c r="Q6" s="489" t="s">
        <v>324</v>
      </c>
      <c r="R6" s="790"/>
      <c r="S6" s="790"/>
      <c r="T6" s="489" t="s">
        <v>342</v>
      </c>
      <c r="U6" s="790"/>
      <c r="V6" s="489" t="s">
        <v>297</v>
      </c>
      <c r="W6" s="1395" t="str">
        <f>Skills!A137</f>
        <v>Simple weapons</v>
      </c>
      <c r="X6" s="1396"/>
      <c r="Y6" s="1396"/>
      <c r="Z6" s="1396"/>
      <c r="AA6" s="731" t="str">
        <f>Skills!D137</f>
        <v>Trained</v>
      </c>
      <c r="AB6" s="1397"/>
      <c r="AC6" s="637"/>
    </row>
    <row r="7" spans="1:29" ht="19.5" customHeight="1" x14ac:dyDescent="0.25">
      <c r="A7" s="643"/>
      <c r="B7" s="1388" t="s">
        <v>8</v>
      </c>
      <c r="C7" s="1389">
        <f>Stats!D4</f>
        <v>14</v>
      </c>
      <c r="D7" s="1389">
        <f>Stats!D13</f>
        <v>2</v>
      </c>
      <c r="E7" s="1368" t="s">
        <v>12</v>
      </c>
      <c r="F7" s="1389">
        <f>Stats!D5</f>
        <v>12</v>
      </c>
      <c r="G7" s="1390">
        <f>Stats!D14</f>
        <v>1</v>
      </c>
      <c r="H7" s="790"/>
      <c r="I7" s="1552" t="str">
        <f>'Equipment Combat'!D343</f>
        <v>22</v>
      </c>
      <c r="J7" s="1553"/>
      <c r="K7" s="1550" t="s">
        <v>498</v>
      </c>
      <c r="L7" s="1550"/>
      <c r="M7" s="1554" t="str">
        <f>IF('Equipment Combat'!D342="",'Equipment Combat'!D341,CONCATENATE("MIN(",'Equipment Combat'!D341,"/",'Equipment Combat'!D342,")"))</f>
        <v>MIN(2/3)</v>
      </c>
      <c r="N7" s="1554"/>
      <c r="O7" s="1320" t="s">
        <v>499</v>
      </c>
      <c r="P7" s="1320">
        <f>'Equipment Combat'!D340</f>
        <v>7</v>
      </c>
      <c r="Q7" s="774" t="str">
        <f>'Equipment Combat'!D338</f>
        <v>Trained</v>
      </c>
      <c r="R7" s="1320"/>
      <c r="S7" s="1320" t="s">
        <v>499</v>
      </c>
      <c r="T7" s="1320">
        <f>'Equipment Combat'!D335+'Equipment Combat'!D336</f>
        <v>3</v>
      </c>
      <c r="U7" s="775" t="s">
        <v>499</v>
      </c>
      <c r="V7" s="776">
        <f>'Equipment Combat'!D339</f>
        <v>0</v>
      </c>
      <c r="W7" s="1398" t="str">
        <f>Skills!A139</f>
        <v>Martial weapons</v>
      </c>
      <c r="X7" s="737"/>
      <c r="Y7" s="1399"/>
      <c r="Z7" s="1399"/>
      <c r="AA7" s="737" t="str">
        <f>Skills!D139</f>
        <v>Untrained</v>
      </c>
      <c r="AB7" s="1343"/>
      <c r="AC7" s="637"/>
    </row>
    <row r="8" spans="1:29" ht="19.5" customHeight="1" x14ac:dyDescent="0.3">
      <c r="A8" s="643"/>
      <c r="B8" s="1391" t="s">
        <v>13</v>
      </c>
      <c r="C8" s="1392">
        <f>Stats!D6</f>
        <v>14</v>
      </c>
      <c r="D8" s="1392">
        <f>Stats!D15</f>
        <v>2</v>
      </c>
      <c r="E8" s="1393" t="s">
        <v>14</v>
      </c>
      <c r="F8" s="1392">
        <f>Stats!D7</f>
        <v>18</v>
      </c>
      <c r="G8" s="1394">
        <f>Stats!D16</f>
        <v>4</v>
      </c>
      <c r="H8" s="790"/>
      <c r="I8" s="789" t="s">
        <v>84</v>
      </c>
      <c r="J8" s="790"/>
      <c r="K8" s="790"/>
      <c r="L8" s="790"/>
      <c r="M8" s="489" t="s">
        <v>324</v>
      </c>
      <c r="N8" s="790"/>
      <c r="O8" s="790"/>
      <c r="P8" s="790"/>
      <c r="Q8" s="489" t="s">
        <v>79</v>
      </c>
      <c r="R8" s="790"/>
      <c r="S8" s="1207" t="s">
        <v>979</v>
      </c>
      <c r="T8" s="1189"/>
      <c r="U8" s="790"/>
      <c r="V8" s="790"/>
      <c r="W8" s="1398" t="str">
        <f>Skills!A141</f>
        <v>Advanced weapons</v>
      </c>
      <c r="X8" s="737"/>
      <c r="Y8" s="1399"/>
      <c r="Z8" s="1399"/>
      <c r="AA8" s="737" t="str">
        <f>Skills!D141</f>
        <v>Untrained</v>
      </c>
      <c r="AB8" s="1343"/>
      <c r="AC8" s="637"/>
    </row>
    <row r="9" spans="1:29" ht="19.5" customHeight="1" x14ac:dyDescent="0.25">
      <c r="A9" s="643"/>
      <c r="B9" s="790"/>
      <c r="C9" s="790"/>
      <c r="D9" s="790"/>
      <c r="E9" s="790"/>
      <c r="F9" s="790"/>
      <c r="G9" s="790"/>
      <c r="H9" s="790"/>
      <c r="I9" s="781">
        <f>Skills!D37</f>
        <v>14</v>
      </c>
      <c r="J9" s="1551" t="s">
        <v>498</v>
      </c>
      <c r="K9" s="1551"/>
      <c r="L9" s="777">
        <f>Skills!D206</f>
        <v>0</v>
      </c>
      <c r="M9" s="778" t="str">
        <f>Skills!D163</f>
        <v>Untrained</v>
      </c>
      <c r="N9" s="779"/>
      <c r="O9" s="777" t="s">
        <v>499</v>
      </c>
      <c r="P9" s="777">
        <f>Skills!D70</f>
        <v>4</v>
      </c>
      <c r="Q9" s="780" t="str">
        <f>Skills!D71</f>
        <v>CHA</v>
      </c>
      <c r="R9" s="790"/>
      <c r="S9" s="1562">
        <f>'Status courant'!D6</f>
        <v>1</v>
      </c>
      <c r="T9" s="1563"/>
      <c r="U9" s="1564"/>
      <c r="V9" s="790"/>
      <c r="W9" s="1398" t="str">
        <f>Skills!A143</f>
        <v>Alchemical bombs</v>
      </c>
      <c r="X9" s="737"/>
      <c r="Y9" s="1399"/>
      <c r="Z9" s="1399"/>
      <c r="AA9" s="737" t="str">
        <f>Skills!D143</f>
        <v>Untrained</v>
      </c>
      <c r="AB9" s="1343"/>
      <c r="AC9" s="637"/>
    </row>
    <row r="10" spans="1:29" ht="19.5" customHeight="1" x14ac:dyDescent="0.3">
      <c r="A10" s="643"/>
      <c r="B10" s="789" t="s">
        <v>500</v>
      </c>
      <c r="C10" s="789"/>
      <c r="D10" s="790"/>
      <c r="E10" s="790"/>
      <c r="F10" s="790"/>
      <c r="G10" s="790"/>
      <c r="H10" s="790"/>
      <c r="I10" s="790"/>
      <c r="J10" s="790"/>
      <c r="K10" s="790"/>
      <c r="L10" s="790"/>
      <c r="M10" s="790"/>
      <c r="N10" s="790"/>
      <c r="O10" s="790"/>
      <c r="P10" s="790"/>
      <c r="Q10" s="790"/>
      <c r="R10" s="790"/>
      <c r="S10" s="790"/>
      <c r="T10" s="790"/>
      <c r="U10" s="790"/>
      <c r="V10" s="790"/>
      <c r="W10" s="1398" t="str">
        <f>Skills!A145</f>
        <v>Unarmed attacks</v>
      </c>
      <c r="X10" s="737"/>
      <c r="Y10" s="1399"/>
      <c r="Z10" s="1399"/>
      <c r="AA10" s="737" t="str">
        <f>Skills!D145</f>
        <v>Trained</v>
      </c>
      <c r="AB10" s="1343"/>
      <c r="AC10" s="637"/>
    </row>
    <row r="11" spans="1:29" ht="19.5" customHeight="1" x14ac:dyDescent="0.25">
      <c r="A11" s="643"/>
      <c r="B11" s="790"/>
      <c r="C11" s="489" t="s">
        <v>7</v>
      </c>
      <c r="D11" s="489"/>
      <c r="E11" s="489" t="s">
        <v>79</v>
      </c>
      <c r="F11" s="489"/>
      <c r="G11" s="489"/>
      <c r="H11" s="489" t="s">
        <v>324</v>
      </c>
      <c r="I11" s="489"/>
      <c r="J11" s="489"/>
      <c r="K11" s="489" t="s">
        <v>342</v>
      </c>
      <c r="L11" s="790"/>
      <c r="M11" s="790"/>
      <c r="N11" s="790"/>
      <c r="O11" s="790"/>
      <c r="P11" s="790"/>
      <c r="Q11" s="498" t="s">
        <v>648</v>
      </c>
      <c r="R11" s="790"/>
      <c r="S11" s="790"/>
      <c r="T11" s="790"/>
      <c r="U11" s="790"/>
      <c r="V11" s="790"/>
      <c r="W11" s="1398" t="str">
        <f>IF(Skills!D$148="",Skills!A$147,Skills!D$148)</f>
        <v>Longsword, rapier, sap, shortbow, shortsword &amp; whip</v>
      </c>
      <c r="X11" s="737"/>
      <c r="Y11" s="1399"/>
      <c r="Z11" s="1399"/>
      <c r="AA11" s="737" t="str">
        <f>Skills!D147</f>
        <v>Trained</v>
      </c>
      <c r="AB11" s="1343"/>
      <c r="AC11" s="637"/>
    </row>
    <row r="12" spans="1:29" ht="19.5" customHeight="1" x14ac:dyDescent="0.3">
      <c r="A12" s="643"/>
      <c r="B12" s="1368" t="s">
        <v>501</v>
      </c>
      <c r="C12" s="1369">
        <f>Skills!D4</f>
        <v>9</v>
      </c>
      <c r="D12" s="1370" t="s">
        <v>502</v>
      </c>
      <c r="E12" s="1371">
        <f>Skills!D45</f>
        <v>2</v>
      </c>
      <c r="F12" s="1370" t="s">
        <v>499</v>
      </c>
      <c r="G12" s="1371">
        <f>Skills!D172</f>
        <v>7</v>
      </c>
      <c r="H12" s="1372" t="str">
        <f>Skills!D78</f>
        <v>Trained</v>
      </c>
      <c r="I12" s="1372"/>
      <c r="J12" s="1370" t="s">
        <v>499</v>
      </c>
      <c r="K12" s="1373"/>
      <c r="L12" s="790"/>
      <c r="M12" s="789" t="s">
        <v>206</v>
      </c>
      <c r="N12" s="790"/>
      <c r="O12" s="790"/>
      <c r="P12" s="790"/>
      <c r="Q12" s="1384" t="s">
        <v>504</v>
      </c>
      <c r="R12" s="1402"/>
      <c r="S12" s="1387">
        <f>C15</f>
        <v>11</v>
      </c>
      <c r="T12" s="790"/>
      <c r="U12" s="790"/>
      <c r="V12" s="790"/>
      <c r="W12" s="1398" t="str">
        <f>IF(Skills!D$150="","",Skills!D$151)</f>
        <v>Falchion, greataxe, orc martial</v>
      </c>
      <c r="X12" s="737"/>
      <c r="Y12" s="1399"/>
      <c r="Z12" s="1399"/>
      <c r="AA12" s="737" t="str">
        <f>IF(Skills!D$150="","",Skills!D$150)</f>
        <v>Trained</v>
      </c>
      <c r="AB12" s="1343"/>
      <c r="AC12" s="637"/>
    </row>
    <row r="13" spans="1:29" ht="19.5" customHeight="1" x14ac:dyDescent="0.25">
      <c r="A13" s="643"/>
      <c r="B13" s="1368" t="s">
        <v>528</v>
      </c>
      <c r="C13" s="1374">
        <f>Skills!D5</f>
        <v>11</v>
      </c>
      <c r="D13" s="1375" t="s">
        <v>502</v>
      </c>
      <c r="E13" s="1376">
        <f>Skills!D46</f>
        <v>2</v>
      </c>
      <c r="F13" s="1375" t="s">
        <v>499</v>
      </c>
      <c r="G13" s="1376">
        <f>Skills!D173</f>
        <v>9</v>
      </c>
      <c r="H13" s="1377" t="str">
        <f>Skills!D80</f>
        <v>Expert</v>
      </c>
      <c r="I13" s="1377"/>
      <c r="J13" s="1375" t="s">
        <v>499</v>
      </c>
      <c r="K13" s="1378"/>
      <c r="L13" s="790"/>
      <c r="M13" s="721" t="str">
        <f>Skills!D309&amp;"'"</f>
        <v>30'</v>
      </c>
      <c r="N13" s="790"/>
      <c r="O13" s="790"/>
      <c r="P13" s="790"/>
      <c r="Q13" s="1403" t="s">
        <v>23</v>
      </c>
      <c r="R13" s="1404"/>
      <c r="S13" s="1390">
        <f>R29</f>
        <v>1</v>
      </c>
      <c r="T13" s="790"/>
      <c r="U13" s="790"/>
      <c r="V13" s="790"/>
      <c r="W13" s="1398" t="str">
        <f>Skills!A154</f>
        <v>Light armor</v>
      </c>
      <c r="X13" s="737"/>
      <c r="Y13" s="1399"/>
      <c r="Z13" s="1399"/>
      <c r="AA13" s="737" t="str">
        <f>Skills!D154</f>
        <v>Trained</v>
      </c>
      <c r="AB13" s="1343"/>
      <c r="AC13" s="637"/>
    </row>
    <row r="14" spans="1:29" ht="19.5" customHeight="1" x14ac:dyDescent="0.3">
      <c r="A14" s="643"/>
      <c r="B14" s="1368" t="s">
        <v>503</v>
      </c>
      <c r="C14" s="1374">
        <f>Skills!D6</f>
        <v>11</v>
      </c>
      <c r="D14" s="1375" t="s">
        <v>502</v>
      </c>
      <c r="E14" s="1376">
        <f>Skills!D47</f>
        <v>2</v>
      </c>
      <c r="F14" s="1375" t="s">
        <v>499</v>
      </c>
      <c r="G14" s="1376">
        <f>Skills!D174</f>
        <v>9</v>
      </c>
      <c r="H14" s="1377" t="str">
        <f>Skills!D82</f>
        <v>Expert</v>
      </c>
      <c r="I14" s="1377"/>
      <c r="J14" s="1375" t="s">
        <v>499</v>
      </c>
      <c r="K14" s="1378"/>
      <c r="L14" s="790"/>
      <c r="M14" s="790"/>
      <c r="N14" s="644"/>
      <c r="O14" s="644"/>
      <c r="P14" s="790"/>
      <c r="Q14" s="1403" t="s">
        <v>54</v>
      </c>
      <c r="R14" s="1404"/>
      <c r="S14" s="1390">
        <f>D30</f>
        <v>4</v>
      </c>
      <c r="T14" s="790"/>
      <c r="U14" s="454"/>
      <c r="V14" s="454"/>
      <c r="W14" s="1398" t="str">
        <f>Skills!A156</f>
        <v>Medium armor</v>
      </c>
      <c r="X14" s="737"/>
      <c r="Y14" s="737"/>
      <c r="Z14" s="737"/>
      <c r="AA14" s="737" t="str">
        <f>Skills!D156</f>
        <v>Untrained</v>
      </c>
      <c r="AB14" s="1343"/>
      <c r="AC14" s="637"/>
    </row>
    <row r="15" spans="1:29" ht="19.5" customHeight="1" x14ac:dyDescent="0.3">
      <c r="A15" s="643"/>
      <c r="B15" s="1368" t="s">
        <v>504</v>
      </c>
      <c r="C15" s="1379">
        <f>Skills!D2</f>
        <v>11</v>
      </c>
      <c r="D15" s="1380" t="s">
        <v>502</v>
      </c>
      <c r="E15" s="1381">
        <f>Skills!D42</f>
        <v>2</v>
      </c>
      <c r="F15" s="1380" t="s">
        <v>499</v>
      </c>
      <c r="G15" s="1381">
        <f>Skills!D171</f>
        <v>9</v>
      </c>
      <c r="H15" s="1382" t="str">
        <f>Skills!D75</f>
        <v>Expert</v>
      </c>
      <c r="I15" s="1382"/>
      <c r="J15" s="1380" t="s">
        <v>499</v>
      </c>
      <c r="K15" s="1383"/>
      <c r="L15" s="498" t="str">
        <f>CONCATENATE(" &lt;&lt; ",Feats!D6)</f>
        <v xml:space="preserve"> &lt;&lt; Low-light vision</v>
      </c>
      <c r="M15" s="644"/>
      <c r="N15" s="644"/>
      <c r="O15" s="644"/>
      <c r="P15" s="790"/>
      <c r="Q15" s="1405" t="s">
        <v>21</v>
      </c>
      <c r="R15" s="1406"/>
      <c r="S15" s="1394">
        <f>D31</f>
        <v>11</v>
      </c>
      <c r="T15" s="454"/>
      <c r="U15" s="454"/>
      <c r="V15" s="454"/>
      <c r="W15" s="1398" t="str">
        <f>Skills!A158</f>
        <v>Heavy armor</v>
      </c>
      <c r="X15" s="737"/>
      <c r="Y15" s="737"/>
      <c r="Z15" s="737"/>
      <c r="AA15" s="737" t="str">
        <f>Skills!D158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Skills!D163</f>
        <v>Untrained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ht="19.5" customHeight="1" x14ac:dyDescent="0.25">
      <c r="A18" s="643"/>
      <c r="B18" s="764" t="str">
        <f>'Equipment Combat'!D349</f>
        <v>Greataxe</v>
      </c>
      <c r="C18" s="765"/>
      <c r="D18" s="765"/>
      <c r="E18" s="1559" t="str">
        <f>'Equipment Combat'!D364</f>
        <v>9/4/-1</v>
      </c>
      <c r="F18" s="1559"/>
      <c r="G18" s="748" t="str">
        <f>"= "&amp;'Equipment Combat'!D367</f>
        <v>= 2</v>
      </c>
      <c r="H18" s="747" t="str">
        <f>'Equipment Combat'!D365</f>
        <v>STR</v>
      </c>
      <c r="I18" s="747"/>
      <c r="J18" s="748" t="str">
        <f>"+ "&amp;'Equipment Combat'!D368</f>
        <v>+ 7</v>
      </c>
      <c r="K18" s="747" t="str">
        <f>'Equipment Combat'!D366</f>
        <v>Trained</v>
      </c>
      <c r="L18" s="747"/>
      <c r="M18" s="1350">
        <f>'Equipment Combat'!D369</f>
        <v>0</v>
      </c>
      <c r="N18" s="457" t="s">
        <v>505</v>
      </c>
      <c r="O18" s="1560" t="str">
        <f>CONCATENATE('Equipment Combat'!D375,'Equipment Combat'!D357)</f>
        <v>1d12</v>
      </c>
      <c r="P18" s="1561"/>
      <c r="Q18" s="1321" t="str">
        <f>"+"&amp;'Equipment Combat'!D374</f>
        <v>+2</v>
      </c>
      <c r="R18" s="752" t="str">
        <f>'Equipment Combat'!D373</f>
        <v>STR</v>
      </c>
      <c r="S18" s="1351" t="str">
        <f>'Equipment Combat'!D358</f>
        <v>Slashing</v>
      </c>
      <c r="T18" s="1352" t="str">
        <f>'Equipment Combat'!D363</f>
        <v>Axe</v>
      </c>
      <c r="U18" s="1353"/>
      <c r="V18" s="1352" t="str">
        <f>'Equipment Combat'!D351&amp;IF('Equipment Combat'!D352="-","",", "&amp;'Equipment Combat'!D352)&amp;IF('Equipment Combat'!D353="-","",", "&amp;'Equipment Combat'!D353)&amp;IF('Equipment Combat'!D354="-","",", "&amp;'Equipment Combat'!D354)&amp;IF('Equipment Combat'!D355="-","",", "&amp;'Equipment Combat'!D355)&amp;IF('Equipment Combat'!D360="-","",", "&amp;'Equipment Combat'!D360)&amp;IF('Equipment Combat'!D361="-","",", "&amp;'Equipment Combat'!D361)</f>
        <v>Specific 2, Sweep</v>
      </c>
      <c r="W18" s="1354"/>
      <c r="X18" s="1354"/>
      <c r="Y18" s="1354"/>
      <c r="Z18" s="1354"/>
      <c r="AA18" s="1354"/>
      <c r="AB18" s="1353"/>
      <c r="AC18" s="637"/>
    </row>
    <row r="19" spans="1:29" ht="19.5" customHeight="1" x14ac:dyDescent="0.25">
      <c r="A19" s="643"/>
      <c r="B19" s="766" t="str">
        <f>'Equipment Combat'!D376</f>
        <v>Dagger</v>
      </c>
      <c r="C19" s="767"/>
      <c r="D19" s="767"/>
      <c r="E19" s="1534" t="str">
        <f>'Equipment Combat'!D391</f>
        <v>9/5/1</v>
      </c>
      <c r="F19" s="1534"/>
      <c r="G19" s="750" t="str">
        <f>"= "&amp;'Equipment Combat'!D394</f>
        <v>= 2</v>
      </c>
      <c r="H19" s="749" t="str">
        <f>'Equipment Combat'!D392</f>
        <v>STR/DEX</v>
      </c>
      <c r="I19" s="749"/>
      <c r="J19" s="750" t="str">
        <f>"+ "&amp;'Equipment Combat'!D395</f>
        <v>+ 7</v>
      </c>
      <c r="K19" s="749" t="str">
        <f>'Equipment Combat'!D393</f>
        <v>Trained</v>
      </c>
      <c r="L19" s="749"/>
      <c r="M19" s="1355">
        <f>'Equipment Combat'!D396</f>
        <v>0</v>
      </c>
      <c r="N19" s="457" t="s">
        <v>505</v>
      </c>
      <c r="O19" s="1540" t="str">
        <f>CONCATENATE('Equipment Combat'!D402,'Equipment Combat'!D384)</f>
        <v>1d4</v>
      </c>
      <c r="P19" s="1541"/>
      <c r="Q19" s="1318" t="str">
        <f>"+"&amp;'Equipment Combat'!D401</f>
        <v>+2</v>
      </c>
      <c r="R19" s="753" t="str">
        <f>'Equipment Combat'!D400</f>
        <v>STR</v>
      </c>
      <c r="S19" s="1356" t="str">
        <f>'Equipment Combat'!D385</f>
        <v>Piercing</v>
      </c>
      <c r="T19" s="1357" t="str">
        <f>'Equipment Combat'!D390</f>
        <v>Knife</v>
      </c>
      <c r="U19" s="1358"/>
      <c r="V19" s="1357" t="str">
        <f>'Equipment Combat'!D378&amp;IF('Equipment Combat'!D379="-","",", "&amp;'Equipment Combat'!D379)&amp;IF('Equipment Combat'!D380="-","",", "&amp;'Equipment Combat'!D380)&amp;IF('Equipment Combat'!D381="-","",", "&amp;'Equipment Combat'!D381)&amp;IF('Equipment Combat'!D382="-","",", "&amp;'Equipment Combat'!D382)&amp;IF('Equipment Combat'!D387="-","",", "&amp;'Equipment Combat'!D387)&amp;IF('Equipment Combat'!D388="-","",", "&amp;'Equipment Combat'!D388)</f>
        <v>Simple, Agile, Finesse, Thrown 10', Versatile S</v>
      </c>
      <c r="W19" s="1359"/>
      <c r="X19" s="1359"/>
      <c r="Y19" s="1359"/>
      <c r="Z19" s="1359"/>
      <c r="AA19" s="1359"/>
      <c r="AB19" s="1358"/>
      <c r="AC19" s="637"/>
    </row>
    <row r="20" spans="1:29" ht="19.5" customHeight="1" x14ac:dyDescent="0.25">
      <c r="A20" s="643"/>
      <c r="B20" s="766" t="str">
        <f>'Equipment Combat'!D403</f>
        <v>Sling</v>
      </c>
      <c r="C20" s="767"/>
      <c r="D20" s="767"/>
      <c r="E20" s="1534" t="str">
        <f>'Equipment Combat'!D418</f>
        <v>9/4/-1</v>
      </c>
      <c r="F20" s="1534"/>
      <c r="G20" s="750" t="str">
        <f>"= "&amp;'Equipment Combat'!D421</f>
        <v>= 2</v>
      </c>
      <c r="H20" s="749" t="str">
        <f>'Equipment Combat'!D419</f>
        <v>DEX</v>
      </c>
      <c r="I20" s="749"/>
      <c r="J20" s="750" t="str">
        <f>"+ "&amp;'Equipment Combat'!D422</f>
        <v>+ 7</v>
      </c>
      <c r="K20" s="749" t="str">
        <f>'Equipment Combat'!D420</f>
        <v>Trained</v>
      </c>
      <c r="L20" s="749"/>
      <c r="M20" s="1355">
        <f>'Equipment Combat'!D423</f>
        <v>0</v>
      </c>
      <c r="N20" s="457" t="s">
        <v>505</v>
      </c>
      <c r="O20" s="1540" t="str">
        <f>CONCATENATE('Equipment Combat'!D429,'Equipment Combat'!D411)</f>
        <v>1d6</v>
      </c>
      <c r="P20" s="1541"/>
      <c r="Q20" s="1318" t="str">
        <f>"+"&amp;'Equipment Combat'!D428</f>
        <v>+1</v>
      </c>
      <c r="R20" s="753" t="str">
        <f>'Equipment Combat'!D427</f>
        <v>PRO</v>
      </c>
      <c r="S20" s="1356" t="str">
        <f>'Equipment Combat'!D412</f>
        <v>Bludgeoning</v>
      </c>
      <c r="T20" s="1357" t="str">
        <f>'Equipment Combat'!D417</f>
        <v>Sling</v>
      </c>
      <c r="U20" s="1358"/>
      <c r="V20" s="1357" t="str">
        <f>'Equipment Combat'!D405&amp;IF('Equipment Combat'!D406="-","",", "&amp;'Equipment Combat'!D406)&amp;IF('Equipment Combat'!D407="-","",", "&amp;'Equipment Combat'!D407)&amp;IF('Equipment Combat'!D408="-","",", "&amp;'Equipment Combat'!D408)&amp;IF('Equipment Combat'!D409="-","",", "&amp;'Equipment Combat'!D409)&amp;IF('Equipment Combat'!D414="-","",", "&amp;'Equipment Combat'!D414)&amp;IF('Equipment Combat'!D415="-","",", "&amp;'Equipment Combat'!D415)</f>
        <v>Simple, Propulsive, 50', Reload 1</v>
      </c>
      <c r="W20" s="1359"/>
      <c r="X20" s="1359"/>
      <c r="Y20" s="1359"/>
      <c r="Z20" s="1359"/>
      <c r="AA20" s="1359"/>
      <c r="AB20" s="1358"/>
      <c r="AC20" s="637"/>
    </row>
    <row r="21" spans="1:29" ht="19.5" customHeight="1" x14ac:dyDescent="0.25">
      <c r="A21" s="643"/>
      <c r="B21" s="766" t="str">
        <f>'Equipment Combat'!D430</f>
        <v>Fist</v>
      </c>
      <c r="C21" s="767"/>
      <c r="D21" s="767"/>
      <c r="E21" s="1534" t="str">
        <f>'Equipment Combat'!D445</f>
        <v>9/5/1</v>
      </c>
      <c r="F21" s="1534"/>
      <c r="G21" s="750" t="str">
        <f>"= "&amp;'Equipment Combat'!D448</f>
        <v>= 2</v>
      </c>
      <c r="H21" s="749" t="str">
        <f>'Equipment Combat'!D446</f>
        <v>STR/DEX</v>
      </c>
      <c r="I21" s="749"/>
      <c r="J21" s="750" t="str">
        <f>"+ "&amp;'Equipment Combat'!D449</f>
        <v>+ 7</v>
      </c>
      <c r="K21" s="749" t="str">
        <f>'Equipment Combat'!D447</f>
        <v>Trained</v>
      </c>
      <c r="L21" s="749"/>
      <c r="M21" s="1355">
        <f>'Equipment Combat'!D450</f>
        <v>0</v>
      </c>
      <c r="N21" s="457" t="s">
        <v>505</v>
      </c>
      <c r="O21" s="1540" t="str">
        <f>CONCATENATE('Equipment Combat'!D456,'Equipment Combat'!D438)</f>
        <v>1d4</v>
      </c>
      <c r="P21" s="1541"/>
      <c r="Q21" s="1318" t="str">
        <f>"+"&amp;'Equipment Combat'!D455</f>
        <v>+2</v>
      </c>
      <c r="R21" s="753" t="str">
        <f>'Equipment Combat'!D454</f>
        <v>STR</v>
      </c>
      <c r="S21" s="1356" t="str">
        <f>'Equipment Combat'!D439</f>
        <v>Bludgeoning</v>
      </c>
      <c r="T21" s="1357" t="str">
        <f>'Equipment Combat'!D444</f>
        <v>Brawling</v>
      </c>
      <c r="U21" s="1358"/>
      <c r="V21" s="1357" t="str">
        <f>'Equipment Combat'!D432&amp;IF('Equipment Combat'!D433="-","",", "&amp;'Equipment Combat'!D433)&amp;IF('Equipment Combat'!D434="-","",", "&amp;'Equipment Combat'!D434)&amp;IF('Equipment Combat'!D435="-","",", "&amp;'Equipment Combat'!D435)&amp;IF('Equipment Combat'!D436="-","",", "&amp;'Equipment Combat'!D436)&amp;IF('Equipment Combat'!D441="-","",", "&amp;'Equipment Combat'!D441)&amp;IF('Equipment Combat'!D442="-","",", "&amp;'Equipment Combat'!D442)</f>
        <v>Unarmed, Agile, Finesse, Nonlethal</v>
      </c>
      <c r="W21" s="1359"/>
      <c r="X21" s="1359"/>
      <c r="Y21" s="1359"/>
      <c r="Z21" s="1359"/>
      <c r="AA21" s="1359"/>
      <c r="AB21" s="1358"/>
      <c r="AC21" s="637"/>
    </row>
    <row r="22" spans="1:29" ht="19.5" customHeight="1" x14ac:dyDescent="0.25">
      <c r="A22" s="643"/>
      <c r="B22" s="766" t="str">
        <f>'Equipment Combat'!D457</f>
        <v>Cinderclaw Gauntlet</v>
      </c>
      <c r="C22" s="767"/>
      <c r="D22" s="767"/>
      <c r="E22" s="1534" t="str">
        <f>'Equipment Combat'!D472</f>
        <v>10/6/2</v>
      </c>
      <c r="F22" s="1534"/>
      <c r="G22" s="750" t="str">
        <f>"= "&amp;'Equipment Combat'!D475</f>
        <v>= 2</v>
      </c>
      <c r="H22" s="749" t="str">
        <f>'Equipment Combat'!D473</f>
        <v>STR</v>
      </c>
      <c r="I22" s="749"/>
      <c r="J22" s="750" t="str">
        <f>"+ "&amp;'Equipment Combat'!D476</f>
        <v>+ 7</v>
      </c>
      <c r="K22" s="749" t="str">
        <f>'Equipment Combat'!D474</f>
        <v>Trained</v>
      </c>
      <c r="L22" s="749"/>
      <c r="M22" s="1355">
        <f>'Equipment Combat'!D477</f>
        <v>1</v>
      </c>
      <c r="N22" s="457" t="s">
        <v>505</v>
      </c>
      <c r="O22" s="1540" t="str">
        <f>CONCATENATE('Equipment Combat'!D483,'Equipment Combat'!D465)</f>
        <v>2d4</v>
      </c>
      <c r="P22" s="1541"/>
      <c r="Q22" s="1318" t="str">
        <f>"+"&amp;'Equipment Combat'!D482</f>
        <v>+2</v>
      </c>
      <c r="R22" s="753" t="str">
        <f>'Equipment Combat'!D481</f>
        <v>STR</v>
      </c>
      <c r="S22" s="1356" t="str">
        <f>'Equipment Combat'!D466</f>
        <v>Bludgeoning</v>
      </c>
      <c r="T22" s="1357" t="str">
        <f>'Equipment Combat'!D471</f>
        <v>Brawling</v>
      </c>
      <c r="U22" s="1358"/>
      <c r="V22" s="1357" t="str">
        <f>'Equipment Combat'!D459&amp;IF('Equipment Combat'!D460="-","",", "&amp;'Equipment Combat'!D460)&amp;IF('Equipment Combat'!D461="-","",", "&amp;'Equipment Combat'!D461)&amp;IF('Equipment Combat'!D462="-","",", "&amp;'Equipment Combat'!D462)&amp;IF('Equipment Combat'!D463="-","",", "&amp;'Equipment Combat'!D463)&amp;IF('Equipment Combat'!D468="-","",", "&amp;'Equipment Combat'!D468)&amp;IF('Equipment Combat'!D469="-","",", "&amp;'Equipment Combat'!D469)</f>
        <v>Simple, Versatile S, Agile, Free-Hand, Crit +1d6 fire [R sick]</v>
      </c>
      <c r="W22" s="1359"/>
      <c r="X22" s="1359"/>
      <c r="Y22" s="1359"/>
      <c r="Z22" s="1359"/>
      <c r="AA22" s="1359"/>
      <c r="AB22" s="1358"/>
      <c r="AC22" s="637"/>
    </row>
    <row r="23" spans="1:29" ht="19.5" hidden="1" customHeight="1" outlineLevel="1" x14ac:dyDescent="0.25">
      <c r="A23" s="643"/>
      <c r="B23" s="1360" t="str">
        <f>'Equipment Combat'!D484</f>
        <v xml:space="preserve">  </v>
      </c>
      <c r="C23" s="1361"/>
      <c r="D23" s="1361"/>
      <c r="E23" s="1535">
        <f>'Equipment Combat'!D499</f>
        <v>0</v>
      </c>
      <c r="F23" s="1535"/>
      <c r="G23" s="751" t="str">
        <f>"= "&amp;'Equipment Combat'!D502</f>
        <v xml:space="preserve">=   </v>
      </c>
      <c r="H23" s="1362" t="str">
        <f>'Equipment Combat'!D500</f>
        <v xml:space="preserve">  </v>
      </c>
      <c r="I23" s="918"/>
      <c r="J23" s="751" t="str">
        <f>"+ "&amp;'Equipment Combat'!D503</f>
        <v xml:space="preserve">+   </v>
      </c>
      <c r="K23" s="918" t="str">
        <f>'Equipment Combat'!D501</f>
        <v xml:space="preserve">  </v>
      </c>
      <c r="L23" s="918"/>
      <c r="M23" s="1363" t="str">
        <f>'Equipment Combat'!D504</f>
        <v xml:space="preserve">  </v>
      </c>
      <c r="N23" s="457" t="s">
        <v>505</v>
      </c>
      <c r="O23" s="1542" t="str">
        <f>CONCATENATE('Equipment Combat'!D510,'Equipment Combat'!D492)</f>
        <v xml:space="preserve">    </v>
      </c>
      <c r="P23" s="1543"/>
      <c r="Q23" s="1319" t="str">
        <f>"+"&amp;'Equipment Combat'!D509</f>
        <v xml:space="preserve">+  </v>
      </c>
      <c r="R23" s="917" t="str">
        <f>'Equipment Combat'!D508</f>
        <v xml:space="preserve">  </v>
      </c>
      <c r="S23" s="1364" t="str">
        <f>'Equipment Combat'!D493</f>
        <v>-</v>
      </c>
      <c r="T23" s="1365" t="str">
        <f>'Equipment Combat'!D498</f>
        <v>-</v>
      </c>
      <c r="U23" s="1366"/>
      <c r="V23" s="1365" t="str">
        <f>'Equipment Combat'!D486&amp;IF('Equipment Combat'!D487="-","",", "&amp;'Equipment Combat'!D487)&amp;IF('Equipment Combat'!D488="-","",", "&amp;'Equipment Combat'!D488)&amp;IF('Equipment Combat'!D489="-","",", "&amp;'Equipment Combat'!D489)&amp;IF('Equipment Combat'!D490="-","",", "&amp;'Equipment Combat'!D490)&amp;IF('Equipment Combat'!D495="-","",", "&amp;'Equipment Combat'!D495)&amp;IF('Equipment Combat'!D496="-","",", "&amp;'Equipment Combat'!D496)</f>
        <v>-</v>
      </c>
      <c r="W23" s="1367"/>
      <c r="X23" s="1367"/>
      <c r="Y23" s="1367"/>
      <c r="Z23" s="1367"/>
      <c r="AA23" s="1367"/>
      <c r="AB23" s="1366"/>
      <c r="AC23" s="637"/>
    </row>
    <row r="24" spans="1:29" s="450" customFormat="1" ht="19.5" customHeight="1" collapsed="1" x14ac:dyDescent="0.3">
      <c r="A24" s="648"/>
      <c r="B24" s="789" t="s">
        <v>19</v>
      </c>
      <c r="C24" s="789"/>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790"/>
      <c r="P25" s="790"/>
      <c r="Q25" s="790"/>
      <c r="R25" s="489" t="s">
        <v>7</v>
      </c>
      <c r="S25" s="790"/>
      <c r="T25" s="489" t="s">
        <v>79</v>
      </c>
      <c r="U25" s="790"/>
      <c r="V25" s="790"/>
      <c r="W25" s="489" t="s">
        <v>324</v>
      </c>
      <c r="X25" s="790"/>
      <c r="Y25" s="790"/>
      <c r="Z25" s="489" t="s">
        <v>342</v>
      </c>
      <c r="AA25" s="790"/>
      <c r="AB25" s="489" t="s">
        <v>301</v>
      </c>
      <c r="AC25" s="637"/>
    </row>
    <row r="26" spans="1:29" ht="19.5" customHeight="1" x14ac:dyDescent="0.25">
      <c r="A26" s="643"/>
      <c r="B26" s="754" t="s">
        <v>20</v>
      </c>
      <c r="C26" s="755"/>
      <c r="D26" s="756">
        <f>Skills!D8</f>
        <v>2</v>
      </c>
      <c r="E26" s="732" t="s">
        <v>502</v>
      </c>
      <c r="F26" s="733">
        <f>Skills!D49</f>
        <v>2</v>
      </c>
      <c r="G26" s="733" t="s">
        <v>499</v>
      </c>
      <c r="H26" s="1339">
        <f>Skills!D175</f>
        <v>0</v>
      </c>
      <c r="I26" s="731" t="str">
        <f>Skills!D96</f>
        <v>Untrained</v>
      </c>
      <c r="J26" s="731"/>
      <c r="K26" s="734" t="s">
        <v>499</v>
      </c>
      <c r="L26" s="734"/>
      <c r="M26" s="734" t="s">
        <v>499</v>
      </c>
      <c r="N26" s="735">
        <f>Skills!D277</f>
        <v>0</v>
      </c>
      <c r="O26" s="754" t="s">
        <v>60</v>
      </c>
      <c r="P26" s="755"/>
      <c r="Q26" s="1340"/>
      <c r="R26" s="756">
        <f>Skills!D25</f>
        <v>11</v>
      </c>
      <c r="S26" s="732" t="s">
        <v>502</v>
      </c>
      <c r="T26" s="733">
        <f>Skills!D63</f>
        <v>4</v>
      </c>
      <c r="U26" s="733" t="s">
        <v>499</v>
      </c>
      <c r="V26" s="733">
        <f>Skills!D189</f>
        <v>7</v>
      </c>
      <c r="W26" s="731" t="str">
        <f>Skills!D124</f>
        <v>Trained</v>
      </c>
      <c r="X26" s="731"/>
      <c r="Y26" s="734" t="s">
        <v>499</v>
      </c>
      <c r="Z26" s="734"/>
      <c r="AA26" s="734" t="s">
        <v>499</v>
      </c>
      <c r="AB26" s="736"/>
      <c r="AC26" s="637"/>
    </row>
    <row r="27" spans="1:29" ht="19.5" customHeight="1" x14ac:dyDescent="0.25">
      <c r="A27" s="643"/>
      <c r="B27" s="757" t="s">
        <v>51</v>
      </c>
      <c r="C27" s="758"/>
      <c r="D27" s="759">
        <f>Skills!D9</f>
        <v>1</v>
      </c>
      <c r="E27" s="738" t="s">
        <v>502</v>
      </c>
      <c r="F27" s="739">
        <f>Skills!D50</f>
        <v>1</v>
      </c>
      <c r="G27" s="739" t="s">
        <v>499</v>
      </c>
      <c r="H27" s="1341">
        <f>Skills!D176</f>
        <v>0</v>
      </c>
      <c r="I27" s="737" t="str">
        <f>Skills!D98</f>
        <v>Untrained</v>
      </c>
      <c r="J27" s="737"/>
      <c r="K27" s="740" t="s">
        <v>499</v>
      </c>
      <c r="L27" s="740"/>
      <c r="M27" s="740" t="s">
        <v>499</v>
      </c>
      <c r="N27" s="741"/>
      <c r="O27" s="757" t="s">
        <v>61</v>
      </c>
      <c r="P27" s="758"/>
      <c r="Q27" s="1342"/>
      <c r="R27" s="759">
        <f>Skills!D26</f>
        <v>2</v>
      </c>
      <c r="S27" s="738" t="s">
        <v>502</v>
      </c>
      <c r="T27" s="739">
        <f>Skills!D64</f>
        <v>2</v>
      </c>
      <c r="U27" s="739" t="s">
        <v>499</v>
      </c>
      <c r="V27" s="739">
        <f>Skills!D190</f>
        <v>0</v>
      </c>
      <c r="W27" s="737" t="str">
        <f>Skills!D126</f>
        <v>Untrained</v>
      </c>
      <c r="X27" s="737"/>
      <c r="Y27" s="740" t="s">
        <v>499</v>
      </c>
      <c r="Z27" s="740"/>
      <c r="AA27" s="740" t="s">
        <v>499</v>
      </c>
      <c r="AB27" s="741"/>
      <c r="AC27" s="637"/>
    </row>
    <row r="28" spans="1:29" ht="19.5" customHeight="1" x14ac:dyDescent="0.25">
      <c r="A28" s="643"/>
      <c r="B28" s="757" t="s">
        <v>52</v>
      </c>
      <c r="C28" s="758"/>
      <c r="D28" s="759">
        <f>Skills!D10</f>
        <v>9</v>
      </c>
      <c r="E28" s="738" t="s">
        <v>502</v>
      </c>
      <c r="F28" s="739">
        <f>Skills!D51</f>
        <v>2</v>
      </c>
      <c r="G28" s="739" t="s">
        <v>499</v>
      </c>
      <c r="H28" s="1341">
        <f>Skills!D177</f>
        <v>7</v>
      </c>
      <c r="I28" s="737" t="str">
        <f>Skills!D100</f>
        <v>Trained</v>
      </c>
      <c r="J28" s="737"/>
      <c r="K28" s="740" t="s">
        <v>499</v>
      </c>
      <c r="L28" s="740"/>
      <c r="M28" s="740" t="s">
        <v>499</v>
      </c>
      <c r="N28" s="742">
        <f>Skills!D278</f>
        <v>0</v>
      </c>
      <c r="O28" s="757" t="s">
        <v>62</v>
      </c>
      <c r="P28" s="758"/>
      <c r="Q28" s="758"/>
      <c r="R28" s="759">
        <f>Skills!D27</f>
        <v>10</v>
      </c>
      <c r="S28" s="738" t="s">
        <v>502</v>
      </c>
      <c r="T28" s="739">
        <f>Skills!D65</f>
        <v>1</v>
      </c>
      <c r="U28" s="739" t="s">
        <v>499</v>
      </c>
      <c r="V28" s="739">
        <f>Skills!D191</f>
        <v>9</v>
      </c>
      <c r="W28" s="737" t="str">
        <f>Skills!D128</f>
        <v>Expert</v>
      </c>
      <c r="X28" s="737"/>
      <c r="Y28" s="740" t="s">
        <v>499</v>
      </c>
      <c r="Z28" s="740"/>
      <c r="AA28" s="740" t="s">
        <v>499</v>
      </c>
      <c r="AB28" s="741"/>
      <c r="AC28" s="637"/>
    </row>
    <row r="29" spans="1:29" ht="19.5" customHeight="1" x14ac:dyDescent="0.25">
      <c r="A29" s="643"/>
      <c r="B29" s="757" t="s">
        <v>53</v>
      </c>
      <c r="C29" s="758"/>
      <c r="D29" s="759">
        <f>Skills!D11</f>
        <v>10</v>
      </c>
      <c r="E29" s="738" t="s">
        <v>502</v>
      </c>
      <c r="F29" s="739">
        <f>Skills!D52</f>
        <v>1</v>
      </c>
      <c r="G29" s="739" t="s">
        <v>499</v>
      </c>
      <c r="H29" s="1341">
        <f>Skills!D178</f>
        <v>9</v>
      </c>
      <c r="I29" s="737" t="str">
        <f>Skills!D102</f>
        <v>Expert</v>
      </c>
      <c r="J29" s="737"/>
      <c r="K29" s="740" t="s">
        <v>499</v>
      </c>
      <c r="L29" s="740"/>
      <c r="M29" s="740" t="s">
        <v>499</v>
      </c>
      <c r="N29" s="741"/>
      <c r="O29" s="757" t="s">
        <v>23</v>
      </c>
      <c r="P29" s="758"/>
      <c r="Q29" s="1342"/>
      <c r="R29" s="759">
        <f>Skills!D28</f>
        <v>1</v>
      </c>
      <c r="S29" s="738" t="s">
        <v>502</v>
      </c>
      <c r="T29" s="739">
        <f>Skills!D66</f>
        <v>2</v>
      </c>
      <c r="U29" s="739" t="s">
        <v>499</v>
      </c>
      <c r="V29" s="739">
        <f>Skills!D192</f>
        <v>0</v>
      </c>
      <c r="W29" s="737" t="str">
        <f>Skills!D130</f>
        <v>Untrained</v>
      </c>
      <c r="X29" s="737"/>
      <c r="Y29" s="740" t="s">
        <v>499</v>
      </c>
      <c r="Z29" s="740"/>
      <c r="AA29" s="740" t="s">
        <v>499</v>
      </c>
      <c r="AB29" s="742">
        <f>Skills!D279</f>
        <v>-1</v>
      </c>
      <c r="AC29" s="637"/>
    </row>
    <row r="30" spans="1:29" ht="19.5" customHeight="1" x14ac:dyDescent="0.25">
      <c r="A30" s="643"/>
      <c r="B30" s="757" t="s">
        <v>54</v>
      </c>
      <c r="C30" s="758"/>
      <c r="D30" s="759">
        <f>Skills!D12</f>
        <v>4</v>
      </c>
      <c r="E30" s="738" t="s">
        <v>502</v>
      </c>
      <c r="F30" s="739">
        <f>Skills!D53</f>
        <v>4</v>
      </c>
      <c r="G30" s="739" t="s">
        <v>499</v>
      </c>
      <c r="H30" s="1341">
        <f>Skills!D179</f>
        <v>0</v>
      </c>
      <c r="I30" s="737" t="str">
        <f>Skills!D104</f>
        <v>Untrained</v>
      </c>
      <c r="J30" s="737"/>
      <c r="K30" s="740" t="s">
        <v>499</v>
      </c>
      <c r="L30" s="740"/>
      <c r="M30" s="740" t="s">
        <v>499</v>
      </c>
      <c r="N30" s="741"/>
      <c r="O30" s="757" t="s">
        <v>24</v>
      </c>
      <c r="P30" s="758"/>
      <c r="Q30" s="1342"/>
      <c r="R30" s="759">
        <f>Skills!D29</f>
        <v>2</v>
      </c>
      <c r="S30" s="738" t="s">
        <v>502</v>
      </c>
      <c r="T30" s="739">
        <f>Skills!D67</f>
        <v>2</v>
      </c>
      <c r="U30" s="739" t="s">
        <v>499</v>
      </c>
      <c r="V30" s="739">
        <f>Skills!D193</f>
        <v>0</v>
      </c>
      <c r="W30" s="737" t="str">
        <f>Skills!D132</f>
        <v>Untrained</v>
      </c>
      <c r="X30" s="737"/>
      <c r="Y30" s="740" t="s">
        <v>499</v>
      </c>
      <c r="Z30" s="740"/>
      <c r="AA30" s="740" t="s">
        <v>499</v>
      </c>
      <c r="AB30" s="741"/>
      <c r="AC30" s="637"/>
    </row>
    <row r="31" spans="1:29" ht="19.5" customHeight="1" x14ac:dyDescent="0.25">
      <c r="A31" s="643"/>
      <c r="B31" s="757" t="s">
        <v>21</v>
      </c>
      <c r="C31" s="758"/>
      <c r="D31" s="759">
        <f>Skills!D13</f>
        <v>11</v>
      </c>
      <c r="E31" s="738" t="s">
        <v>502</v>
      </c>
      <c r="F31" s="739">
        <f>Skills!D54</f>
        <v>4</v>
      </c>
      <c r="G31" s="739" t="s">
        <v>499</v>
      </c>
      <c r="H31" s="1341">
        <f>Skills!D180</f>
        <v>7</v>
      </c>
      <c r="I31" s="737" t="str">
        <f>Skills!D106</f>
        <v>Trained</v>
      </c>
      <c r="J31" s="737"/>
      <c r="K31" s="740" t="s">
        <v>499</v>
      </c>
      <c r="L31" s="740"/>
      <c r="M31" s="740" t="s">
        <v>499</v>
      </c>
      <c r="N31" s="741"/>
      <c r="O31" s="757" t="s">
        <v>63</v>
      </c>
      <c r="P31" s="758"/>
      <c r="Q31" s="1342"/>
      <c r="R31" s="759">
        <f>Skills!D30</f>
        <v>2</v>
      </c>
      <c r="S31" s="738" t="s">
        <v>502</v>
      </c>
      <c r="T31" s="739">
        <f>Skills!D68</f>
        <v>2</v>
      </c>
      <c r="U31" s="739" t="s">
        <v>499</v>
      </c>
      <c r="V31" s="739">
        <f>Skills!D194</f>
        <v>0</v>
      </c>
      <c r="W31" s="737" t="str">
        <f>Skills!D134</f>
        <v>Untrained</v>
      </c>
      <c r="X31" s="737"/>
      <c r="Y31" s="740" t="s">
        <v>499</v>
      </c>
      <c r="Z31" s="740"/>
      <c r="AA31" s="740" t="s">
        <v>499</v>
      </c>
      <c r="AB31" s="742">
        <f>Skills!D280</f>
        <v>0</v>
      </c>
      <c r="AC31" s="637"/>
    </row>
    <row r="32" spans="1:29" ht="19.5" customHeight="1" x14ac:dyDescent="0.25">
      <c r="A32" s="643"/>
      <c r="B32" s="757" t="s">
        <v>55</v>
      </c>
      <c r="C32" s="758"/>
      <c r="D32" s="759">
        <f>Skills!D14</f>
        <v>11</v>
      </c>
      <c r="E32" s="738" t="s">
        <v>502</v>
      </c>
      <c r="F32" s="739">
        <f>Skills!D55</f>
        <v>4</v>
      </c>
      <c r="G32" s="739" t="s">
        <v>499</v>
      </c>
      <c r="H32" s="1341">
        <f>Skills!D181</f>
        <v>7</v>
      </c>
      <c r="I32" s="737" t="str">
        <f>Skills!D108</f>
        <v>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",Skills!D17)</f>
        <v>&gt; Art</v>
      </c>
      <c r="C33" s="758"/>
      <c r="D33" s="759">
        <f>Skills!D16</f>
        <v>8</v>
      </c>
      <c r="E33" s="738" t="s">
        <v>502</v>
      </c>
      <c r="F33" s="739">
        <f>Skills!D57</f>
        <v>1</v>
      </c>
      <c r="G33" s="739" t="s">
        <v>499</v>
      </c>
      <c r="H33" s="1341">
        <f>Skills!D183</f>
        <v>7</v>
      </c>
      <c r="I33" s="737" t="str">
        <f>Skills!D112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hidden="1" customHeight="1" outlineLevel="1" x14ac:dyDescent="0.25">
      <c r="A34" s="643"/>
      <c r="B34" s="1140" t="str">
        <f>IF(Skills!D19="","",CONCATENATE("&gt; ",Skills!D19))</f>
        <v/>
      </c>
      <c r="C34" s="758"/>
      <c r="D34" s="759" t="str">
        <f>IF(Skills!D19="","",Skills!D18)</f>
        <v/>
      </c>
      <c r="E34" s="738" t="s">
        <v>502</v>
      </c>
      <c r="F34" s="739" t="str">
        <f>IF(Skills!D19="","",Skills!D57)</f>
        <v/>
      </c>
      <c r="G34" s="739" t="s">
        <v>499</v>
      </c>
      <c r="H34" s="1341">
        <f>Skills!D184</f>
        <v>0</v>
      </c>
      <c r="I34" s="737" t="str">
        <f>Skills!D114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collapsed="1" x14ac:dyDescent="0.25">
      <c r="A35" s="643"/>
      <c r="B35" s="760" t="s">
        <v>57</v>
      </c>
      <c r="C35" s="758"/>
      <c r="D35" s="759">
        <f>Skills!D22</f>
        <v>9</v>
      </c>
      <c r="E35" s="738" t="s">
        <v>502</v>
      </c>
      <c r="F35" s="739">
        <f>Skills!D60</f>
        <v>2</v>
      </c>
      <c r="G35" s="739" t="s">
        <v>499</v>
      </c>
      <c r="H35" s="1341">
        <f>Skills!D186</f>
        <v>7</v>
      </c>
      <c r="I35" s="737" t="str">
        <f>Skills!D118</f>
        <v>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Skills!D23</f>
        <v>2</v>
      </c>
      <c r="E36" s="738" t="s">
        <v>502</v>
      </c>
      <c r="F36" s="739">
        <f>Skills!D61</f>
        <v>2</v>
      </c>
      <c r="G36" s="739" t="s">
        <v>499</v>
      </c>
      <c r="H36" s="1341">
        <f>Skills!D187</f>
        <v>0</v>
      </c>
      <c r="I36" s="737" t="str">
        <f>Skills!D120</f>
        <v>Untrained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Skills!D24</f>
        <v>8</v>
      </c>
      <c r="E37" s="743" t="s">
        <v>502</v>
      </c>
      <c r="F37" s="744">
        <f>Skills!D62</f>
        <v>1</v>
      </c>
      <c r="G37" s="744" t="s">
        <v>499</v>
      </c>
      <c r="H37" s="1344">
        <f>Skills!D188</f>
        <v>7</v>
      </c>
      <c r="I37" s="1345" t="str">
        <f>Skills!D122</f>
        <v>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Combat'!D512="","",'Equipment Combat'!D512&amp;" -&gt; Trigger : "&amp;'Equipment Combat'!D513&amp;"; Effect : "&amp;'Equipment Combat'!D514&amp;IF('Equipment Combat'!D515="",""," - "&amp;'Equipment Combat'!D515))</f>
        <v>Orc Weapon Carnage -&gt; Trigger : Critical success on Strike; Effect : Critical specialization effect - [Falchion/greataxe/orc weapon]</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hidden="1" customHeight="1" outlineLevel="1" x14ac:dyDescent="0.25">
      <c r="A40" s="646"/>
      <c r="B40" s="725" t="str">
        <f>IF('Equipment Combat'!D516="","",'Equipment Combat'!D516&amp;" -&gt; Trigger : "&amp;'Equipment Combat'!D517&amp;"; Effect : "&amp;'Equipment Combat'!D518&amp;IF('Equipment Combat'!D519="",""," - "&amp;'Equipment Combat'!D519))</f>
        <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hidden="1" customHeight="1" outlineLevel="1" x14ac:dyDescent="0.25">
      <c r="A41" s="646"/>
      <c r="B41" s="725" t="str">
        <f>IF('Equipment Combat'!D520="","",'Equipment Combat'!D520&amp;" -&gt; Trigger : "&amp;'Equipment Combat'!D521&amp;"; Effect : "&amp;'Equipment Combat'!D522&amp;IF('Equipment Combat'!D523="",""," - "&amp;'Equipment Combat'!D523))</f>
        <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Combat'!D524="","",'Equipment Combat'!D524&amp;" -&gt; Trigger : "&amp;'Equipment Combat'!D525&amp;"; Effect : "&amp;'Equipment Combat'!D526&amp;IF('Equipment Combat'!D527="",""," - "&amp;'Equipment Combat'!D527))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Combat'!D528="","",'Equipment Combat'!D528&amp;" -&gt; Trigger : "&amp;'Equipment Combat'!D529&amp;"; Effect : "&amp;'Equipment Combat'!D530&amp;IF('Equipment Combat'!D531="",""," - "&amp;'Equipment Combat'!D531))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790"/>
      <c r="U46" s="790"/>
      <c r="V46" s="790"/>
      <c r="W46" s="790"/>
      <c r="X46" s="790"/>
      <c r="Y46" s="790"/>
      <c r="Z46" s="790"/>
      <c r="AA46" s="790"/>
      <c r="AB46" s="790"/>
      <c r="AC46" s="637"/>
    </row>
    <row r="47" spans="1:29"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ht="19.5" customHeight="1" x14ac:dyDescent="0.25">
      <c r="A48" s="656"/>
      <c r="B48" s="1328" t="str">
        <f>IF('Equipment Combat'!D7="","",'Equipment Combat'!D7&amp;" ("&amp;'Equipment Combat'!D114&amp;")")</f>
        <v>Backpack (Back)</v>
      </c>
      <c r="C48" s="1329"/>
      <c r="D48" s="1329"/>
      <c r="E48" s="1330"/>
      <c r="F48" s="1331"/>
      <c r="G48" s="714">
        <f>IF('Equipment Combat'!D60="","",'Equipment Combat'!D60)</f>
        <v>1</v>
      </c>
      <c r="H48" s="715" t="str">
        <f>IF('Equipment Combat'!D114="Stowed","["&amp;IF('Equipment Combat'!#REF!&lt;0.1,"",IF('Equipment Combat'!#REF!&lt;1,INT(10*'Equipment Combat'!#REF!)&amp;"L",INT('Equipment Combat'!#REF!)&amp;"B"))&amp;"]",IF('Equipment Combat'!D277&lt;0.1,"",IF('Equipment Combat'!D277&lt;1,INT(10*'Equipment Combat'!D277)&amp;"L",INT('Equipment Combat'!D277)&amp;"B")))</f>
        <v/>
      </c>
      <c r="I48" s="1328" t="str">
        <f>IF('Equipment Combat'!D20="","",'Equipment Combat'!D20&amp;" ("&amp;'Equipment Combat'!D127&amp;")")</f>
        <v>+1 Chain Shirt (+2 M3 -1/12, flexible, noisy) (Worn)</v>
      </c>
      <c r="J48" s="1329"/>
      <c r="K48" s="1330"/>
      <c r="L48" s="1331"/>
      <c r="M48" s="1329"/>
      <c r="N48" s="714">
        <f>IF('Equipment Combat'!D73="","",'Equipment Combat'!D73)</f>
        <v>1</v>
      </c>
      <c r="O48" s="715" t="str">
        <f>IF('Equipment Combat'!D127="Stowed","["&amp;IF('Equipment Combat'!D234&lt;0.1,"",IF('Equipment Combat'!D234&lt;1,INT(10*'Equipment Combat'!D234)&amp;"L",INT('Equipment Combat'!D234)&amp;"B"))&amp;"]",IF('Equipment Combat'!D290&lt;0.1,"",IF('Equipment Combat'!D290&lt;1,INT(10*'Equipment Combat'!D290)&amp;"L",INT('Equipment Combat'!D290)&amp;"B")))</f>
        <v>1B</v>
      </c>
      <c r="P48" s="1328" t="str">
        <f>IF('Equipment Combat'!D33="","",'Equipment Combat'!D33&amp;" ("&amp;'Equipment Combat'!D140&amp;")")</f>
        <v/>
      </c>
      <c r="Q48" s="1329"/>
      <c r="R48" s="1330"/>
      <c r="S48" s="1331"/>
      <c r="T48" s="1329"/>
      <c r="U48" s="714" t="str">
        <f>IF('Equipment Combat'!D86="","",'Equipment Combat'!D86)</f>
        <v/>
      </c>
      <c r="V48" s="715" t="str">
        <f>IF('Equipment Combat'!D140="Stowed","["&amp;IF('Equipment Combat'!D247&lt;0.1,"",IF('Equipment Combat'!D247&lt;1,INT(10*'Equipment Combat'!D247)&amp;"L",INT('Equipment Combat'!D247)&amp;"B"))&amp;"]",IF('Equipment Combat'!D303&lt;0.1,"",IF('Equipment Combat'!D303&lt;1,INT(10*'Equipment Combat'!D303)&amp;"L",INT('Equipment Combat'!D303)&amp;"B")))</f>
        <v/>
      </c>
      <c r="W48" s="1328" t="str">
        <f>IF('Equipment Combat'!D46="","",'Equipment Combat'!D46&amp;" ("&amp;'Equipment Combat'!D153&amp;")")</f>
        <v/>
      </c>
      <c r="X48" s="1329"/>
      <c r="Y48" s="1331"/>
      <c r="Z48" s="1329"/>
      <c r="AA48" s="714" t="str">
        <f>IF('Equipment Combat'!D99="","",'Equipment Combat'!D99)</f>
        <v/>
      </c>
      <c r="AB48" s="715" t="str">
        <f>IF('Equipment Combat'!D153="Stowed","["&amp;IF('Equipment Combat'!D260&lt;0.1,"",IF('Equipment Combat'!D260&lt;1,INT(10*'Equipment Combat'!D260)&amp;"L",INT('Equipment Combat'!D260)&amp;"B"))&amp;"]",IF('Equipment Combat'!D316&lt;0.1,"",IF('Equipment Combat'!D316&lt;1,INT(10*'Equipment Combat'!D316)&amp;"L",INT('Equipment Combat'!D316)&amp;"B")))</f>
        <v/>
      </c>
      <c r="AC48" s="637"/>
    </row>
    <row r="49" spans="1:29" ht="19.5" customHeight="1" x14ac:dyDescent="0.25">
      <c r="A49" s="656"/>
      <c r="B49" s="1332" t="str">
        <f>IF('Equipment Combat'!D8="","",'Equipment Combat'!D8&amp;" ("&amp;'Equipment Combat'!D115&amp;")")</f>
        <v>Bedroll (Stowed)</v>
      </c>
      <c r="C49" s="1333"/>
      <c r="D49" s="1333"/>
      <c r="E49" s="1334"/>
      <c r="F49" s="1335"/>
      <c r="G49" s="716">
        <f>IF('Equipment Combat'!D61="","",'Equipment Combat'!D61)</f>
        <v>1</v>
      </c>
      <c r="H49" s="717" t="str">
        <f>IF('Equipment Combat'!D115="Stowed","["&amp;IF('Equipment Combat'!D222&lt;0.1,"",IF('Equipment Combat'!D222&lt;1,INT(10*'Equipment Combat'!D222)&amp;"L",INT('Equipment Combat'!D222)&amp;"B"))&amp;"]",IF('Equipment Combat'!D278&lt;0.1,"",IF('Equipment Combat'!D278&lt;1,INT(10*'Equipment Combat'!D278)&amp;"L",INT('Equipment Combat'!D278)&amp;"B")))</f>
        <v>[1L]</v>
      </c>
      <c r="I49" s="1332" t="str">
        <f>IF('Equipment Combat'!D21="","",'Equipment Combat'!D21&amp;" ("&amp;'Equipment Combat'!D128&amp;")")</f>
        <v>Musical Instrument (2H) (Worn)</v>
      </c>
      <c r="J49" s="1333"/>
      <c r="K49" s="1334"/>
      <c r="L49" s="1335"/>
      <c r="M49" s="1333"/>
      <c r="N49" s="716">
        <f>IF('Equipment Combat'!D74="","",'Equipment Combat'!D74)</f>
        <v>1</v>
      </c>
      <c r="O49" s="717" t="str">
        <f>IF('Equipment Combat'!D128="Stowed","["&amp;IF('Equipment Combat'!D235&lt;0.1,"",IF('Equipment Combat'!D235&lt;1,INT(10*'Equipment Combat'!D235)&amp;"L",INT('Equipment Combat'!D235)&amp;"B"))&amp;"]",IF('Equipment Combat'!D291&lt;0.1,"",IF('Equipment Combat'!D291&lt;1,INT(10*'Equipment Combat'!D291)&amp;"L",INT('Equipment Combat'!D291)&amp;"B")))</f>
        <v>1B</v>
      </c>
      <c r="P49" s="1332" t="str">
        <f>IF('Equipment Combat'!D34="","",'Equipment Combat'!D34&amp;" ("&amp;'Equipment Combat'!D141&amp;")")</f>
        <v/>
      </c>
      <c r="Q49" s="1333"/>
      <c r="R49" s="1334"/>
      <c r="S49" s="1335"/>
      <c r="T49" s="1333"/>
      <c r="U49" s="716" t="str">
        <f>IF('Equipment Combat'!D87="","",'Equipment Combat'!D87)</f>
        <v/>
      </c>
      <c r="V49" s="717" t="str">
        <f>IF('Equipment Combat'!D141="Stowed","["&amp;IF('Equipment Combat'!D248&lt;0.1,"",IF('Equipment Combat'!D248&lt;1,INT(10*'Equipment Combat'!D248)&amp;"L",INT('Equipment Combat'!D248)&amp;"B"))&amp;"]",IF('Equipment Combat'!D304&lt;0.1,"",IF('Equipment Combat'!D304&lt;1,INT(10*'Equipment Combat'!D304)&amp;"L",INT('Equipment Combat'!D304)&amp;"B")))</f>
        <v/>
      </c>
      <c r="W49" s="1332" t="str">
        <f>IF('Equipment Combat'!D47="","",'Equipment Combat'!D47&amp;" ("&amp;'Equipment Combat'!D154&amp;")")</f>
        <v/>
      </c>
      <c r="X49" s="1333"/>
      <c r="Y49" s="1335"/>
      <c r="Z49" s="1333"/>
      <c r="AA49" s="716" t="str">
        <f>IF('Equipment Combat'!D100="","",'Equipment Combat'!D100)</f>
        <v/>
      </c>
      <c r="AB49" s="717" t="str">
        <f>IF('Equipment Combat'!D154="Stowed","["&amp;IF('Equipment Combat'!D261&lt;0.1,"",IF('Equipment Combat'!D261&lt;1,INT(10*'Equipment Combat'!D261)&amp;"L",INT('Equipment Combat'!D261)&amp;"B"))&amp;"]",IF('Equipment Combat'!D317&lt;0.1,"",IF('Equipment Combat'!D317&lt;1,INT(10*'Equipment Combat'!D317)&amp;"L",INT('Equipment Combat'!D317)&amp;"B")))</f>
        <v/>
      </c>
      <c r="AC49" s="637"/>
    </row>
    <row r="50" spans="1:29" ht="19.5" customHeight="1" x14ac:dyDescent="0.25">
      <c r="A50" s="656"/>
      <c r="B50" s="1332" t="str">
        <f>IF('Equipment Combat'!D9="","",'Equipment Combat'!D9&amp;" ("&amp;'Equipment Combat'!D116&amp;")")</f>
        <v>Chalk (Stowed)</v>
      </c>
      <c r="C50" s="1333"/>
      <c r="D50" s="1333"/>
      <c r="E50" s="1334"/>
      <c r="F50" s="1335"/>
      <c r="G50" s="716">
        <f>IF('Equipment Combat'!D62="","",'Equipment Combat'!D62)</f>
        <v>10</v>
      </c>
      <c r="H50" s="717" t="str">
        <f>IF('Equipment Combat'!D116="Stowed","["&amp;IF('Equipment Combat'!D223&lt;0.1,"",IF('Equipment Combat'!D223&lt;1,INT(10*'Equipment Combat'!D223)&amp;"L",INT('Equipment Combat'!D223)&amp;"B"))&amp;"]",IF('Equipment Combat'!D279&lt;0.1,"",IF('Equipment Combat'!D279&lt;1,INT(10*'Equipment Combat'!D279)&amp;"L",INT('Equipment Combat'!D279)&amp;"B")))</f>
        <v>[]</v>
      </c>
      <c r="I50" s="1332" t="str">
        <f>IF('Equipment Combat'!D22="","",'Equipment Combat'!D22&amp;" ("&amp;'Equipment Combat'!D129&amp;")")</f>
        <v>Wondrous Figurine (Onyx Dog) (Worn)</v>
      </c>
      <c r="J50" s="1333"/>
      <c r="K50" s="1334"/>
      <c r="L50" s="1335"/>
      <c r="M50" s="1333"/>
      <c r="N50" s="716">
        <f>IF('Equipment Combat'!D75="","",'Equipment Combat'!D75)</f>
        <v>1</v>
      </c>
      <c r="O50" s="717" t="str">
        <f>IF('Equipment Combat'!D129="Stowed","["&amp;IF('Equipment Combat'!D236&lt;0.1,"",IF('Equipment Combat'!D236&lt;1,INT(10*'Equipment Combat'!D236)&amp;"L",INT('Equipment Combat'!D236)&amp;"B"))&amp;"]",IF('Equipment Combat'!D292&lt;0.1,"",IF('Equipment Combat'!D292&lt;1,INT(10*'Equipment Combat'!D292)&amp;"L",INT('Equipment Combat'!D292)&amp;"B")))</f>
        <v>1L</v>
      </c>
      <c r="P50" s="1332" t="str">
        <f>IF('Equipment Combat'!D35="","",'Equipment Combat'!D35&amp;" ("&amp;'Equipment Combat'!D142&amp;")")</f>
        <v/>
      </c>
      <c r="Q50" s="1333"/>
      <c r="R50" s="1334"/>
      <c r="S50" s="1335"/>
      <c r="T50" s="1333"/>
      <c r="U50" s="716" t="str">
        <f>IF('Equipment Combat'!D88="","",'Equipment Combat'!D88)</f>
        <v/>
      </c>
      <c r="V50" s="717" t="str">
        <f>IF('Equipment Combat'!D142="Stowed","["&amp;IF('Equipment Combat'!D249&lt;0.1,"",IF('Equipment Combat'!D249&lt;1,INT(10*'Equipment Combat'!D249)&amp;"L",INT('Equipment Combat'!D249)&amp;"B"))&amp;"]",IF('Equipment Combat'!D305&lt;0.1,"",IF('Equipment Combat'!D305&lt;1,INT(10*'Equipment Combat'!D305)&amp;"L",INT('Equipment Combat'!D305)&amp;"B")))</f>
        <v/>
      </c>
      <c r="W50" s="1332" t="str">
        <f>IF('Equipment Combat'!D48="","",'Equipment Combat'!D48&amp;" ("&amp;'Equipment Combat'!D155&amp;")")</f>
        <v/>
      </c>
      <c r="X50" s="1333"/>
      <c r="Y50" s="1335"/>
      <c r="Z50" s="1333"/>
      <c r="AA50" s="716" t="str">
        <f>IF('Equipment Combat'!D101="","",'Equipment Combat'!D101)</f>
        <v/>
      </c>
      <c r="AB50" s="717" t="str">
        <f>IF('Equipment Combat'!D155="Stowed","["&amp;IF('Equipment Combat'!D262&lt;0.1,"",IF('Equipment Combat'!D262&lt;1,INT(10*'Equipment Combat'!D262)&amp;"L",INT('Equipment Combat'!D262)&amp;"B"))&amp;"]",IF('Equipment Combat'!D318&lt;0.1,"",IF('Equipment Combat'!D318&lt;1,INT(10*'Equipment Combat'!D318)&amp;"L",INT('Equipment Combat'!D318)&amp;"B")))</f>
        <v/>
      </c>
      <c r="AC50" s="637"/>
    </row>
    <row r="51" spans="1:29" ht="19.5" customHeight="1" x14ac:dyDescent="0.25">
      <c r="A51" s="656"/>
      <c r="B51" s="1332" t="str">
        <f>IF('Equipment Combat'!D10="","",'Equipment Combat'!D10&amp;" ("&amp;'Equipment Combat'!D117&amp;")")</f>
        <v>Flint and Steel (Stowed)</v>
      </c>
      <c r="C51" s="1333"/>
      <c r="D51" s="1333"/>
      <c r="E51" s="1334"/>
      <c r="F51" s="1335"/>
      <c r="G51" s="716">
        <f>IF('Equipment Combat'!D63="","",'Equipment Combat'!D63)</f>
        <v>1</v>
      </c>
      <c r="H51" s="717" t="str">
        <f>IF('Equipment Combat'!D117="Stowed","["&amp;IF('Equipment Combat'!D224&lt;0.1,"",IF('Equipment Combat'!D224&lt;1,INT(10*'Equipment Combat'!D224)&amp;"L",INT('Equipment Combat'!D224)&amp;"B"))&amp;"]",IF('Equipment Combat'!D280&lt;0.1,"",IF('Equipment Combat'!D280&lt;1,INT(10*'Equipment Combat'!D280)&amp;"L",INT('Equipment Combat'!D280)&amp;"B")))</f>
        <v>[]</v>
      </c>
      <c r="I51" s="1332" t="str">
        <f>IF('Equipment Combat'!D23="","",'Equipment Combat'!D23&amp;" ("&amp;'Equipment Combat'!D130&amp;")")</f>
        <v>Tanglefoot Bag (Worn)</v>
      </c>
      <c r="J51" s="1333"/>
      <c r="K51" s="1334"/>
      <c r="L51" s="1335"/>
      <c r="M51" s="1333"/>
      <c r="N51" s="716">
        <f>IF('Equipment Combat'!D76="","",'Equipment Combat'!D76)</f>
        <v>1</v>
      </c>
      <c r="O51" s="717" t="str">
        <f>IF('Equipment Combat'!D130="Stowed","["&amp;IF('Equipment Combat'!D237&lt;0.1,"",IF('Equipment Combat'!D237&lt;1,INT(10*'Equipment Combat'!D237)&amp;"L",INT('Equipment Combat'!D237)&amp;"B"))&amp;"]",IF('Equipment Combat'!D293&lt;0.1,"",IF('Equipment Combat'!D293&lt;1,INT(10*'Equipment Combat'!D293)&amp;"L",INT('Equipment Combat'!D293)&amp;"B")))</f>
        <v>1L</v>
      </c>
      <c r="P51" s="1332" t="str">
        <f>IF('Equipment Combat'!D36="","",'Equipment Combat'!D36&amp;" ("&amp;'Equipment Combat'!D143&amp;")")</f>
        <v/>
      </c>
      <c r="Q51" s="1333"/>
      <c r="R51" s="1334"/>
      <c r="S51" s="1335"/>
      <c r="T51" s="1333"/>
      <c r="U51" s="716" t="str">
        <f>IF('Equipment Combat'!D89="","",'Equipment Combat'!D89)</f>
        <v/>
      </c>
      <c r="V51" s="717" t="str">
        <f>IF('Equipment Combat'!D143="Stowed","["&amp;IF('Equipment Combat'!D250&lt;0.1,"",IF('Equipment Combat'!D250&lt;1,INT(10*'Equipment Combat'!D250)&amp;"L",INT('Equipment Combat'!D250)&amp;"B"))&amp;"]",IF('Equipment Combat'!D306&lt;0.1,"",IF('Equipment Combat'!D306&lt;1,INT(10*'Equipment Combat'!D306)&amp;"L",INT('Equipment Combat'!D306)&amp;"B")))</f>
        <v/>
      </c>
      <c r="W51" s="1332" t="str">
        <f>IF('Equipment Combat'!D49="","",'Equipment Combat'!D49&amp;" ("&amp;'Equipment Combat'!D156&amp;")")</f>
        <v/>
      </c>
      <c r="X51" s="1333"/>
      <c r="Y51" s="1335"/>
      <c r="Z51" s="1333"/>
      <c r="AA51" s="716" t="str">
        <f>IF('Equipment Combat'!D102="","",'Equipment Combat'!D102)</f>
        <v/>
      </c>
      <c r="AB51" s="717" t="str">
        <f>IF('Equipment Combat'!D156="Stowed","["&amp;IF('Equipment Combat'!D263&lt;0.1,"",IF('Equipment Combat'!D263&lt;1,INT(10*'Equipment Combat'!D263)&amp;"L",INT('Equipment Combat'!D263)&amp;"B"))&amp;"]",IF('Equipment Combat'!D319&lt;0.1,"",IF('Equipment Combat'!D319&lt;1,INT(10*'Equipment Combat'!D319)&amp;"L",INT('Equipment Combat'!D319)&amp;"B")))</f>
        <v/>
      </c>
      <c r="AC51" s="637"/>
    </row>
    <row r="52" spans="1:29" ht="19.5" customHeight="1" x14ac:dyDescent="0.25">
      <c r="A52" s="656"/>
      <c r="B52" s="1332" t="str">
        <f>IF('Equipment Combat'!D11="","",'Equipment Combat'!D11&amp;" ("&amp;'Equipment Combat'!D118&amp;")")</f>
        <v>Rations (day) (Stowed)</v>
      </c>
      <c r="C52" s="1333"/>
      <c r="D52" s="1333"/>
      <c r="E52" s="1334"/>
      <c r="F52" s="1335"/>
      <c r="G52" s="716">
        <f>IF('Equipment Combat'!D64="","",'Equipment Combat'!D64)</f>
        <v>28</v>
      </c>
      <c r="H52" s="717" t="str">
        <f>IF('Equipment Combat'!D118="Stowed","["&amp;IF('Equipment Combat'!D225&lt;0.1,"",IF('Equipment Combat'!D225&lt;1,INT(10*'Equipment Combat'!D225)&amp;"L",INT('Equipment Combat'!D225)&amp;"B"))&amp;"]",IF('Equipment Combat'!D281&lt;0.1,"",IF('Equipment Combat'!D281&lt;1,INT(10*'Equipment Combat'!D281)&amp;"L",INT('Equipment Combat'!D281)&amp;"B")))</f>
        <v>[4L]</v>
      </c>
      <c r="I52" s="1332" t="str">
        <f>IF('Equipment Combat'!D24="","",'Equipment Combat'!D24&amp;" ("&amp;'Equipment Combat'!D131&amp;")")</f>
        <v>Scroll of Darkness (L2) (Worn)</v>
      </c>
      <c r="J52" s="1333"/>
      <c r="K52" s="1334"/>
      <c r="L52" s="1335"/>
      <c r="M52" s="1333"/>
      <c r="N52" s="716">
        <f>IF('Equipment Combat'!D77="","",'Equipment Combat'!D77)</f>
        <v>1</v>
      </c>
      <c r="O52" s="717" t="str">
        <f>IF('Equipment Combat'!D131="Stowed","["&amp;IF('Equipment Combat'!D238&lt;0.1,"",IF('Equipment Combat'!D238&lt;1,INT(10*'Equipment Combat'!D238)&amp;"L",INT('Equipment Combat'!D238)&amp;"B"))&amp;"]",IF('Equipment Combat'!D294&lt;0.1,"",IF('Equipment Combat'!D294&lt;1,INT(10*'Equipment Combat'!D294)&amp;"L",INT('Equipment Combat'!D294)&amp;"B")))</f>
        <v>1L</v>
      </c>
      <c r="P52" s="1332" t="str">
        <f>IF('Equipment Combat'!D37="","",'Equipment Combat'!D37&amp;" ("&amp;'Equipment Combat'!D144&amp;")")</f>
        <v/>
      </c>
      <c r="Q52" s="1333"/>
      <c r="R52" s="1334"/>
      <c r="S52" s="1335"/>
      <c r="T52" s="1333"/>
      <c r="U52" s="716" t="str">
        <f>IF('Equipment Combat'!D90="","",'Equipment Combat'!D90)</f>
        <v/>
      </c>
      <c r="V52" s="717" t="str">
        <f>IF('Equipment Combat'!D144="Stowed","["&amp;IF('Equipment Combat'!D251&lt;0.1,"",IF('Equipment Combat'!D251&lt;1,INT(10*'Equipment Combat'!D251)&amp;"L",INT('Equipment Combat'!D251)&amp;"B"))&amp;"]",IF('Equipment Combat'!D307&lt;0.1,"",IF('Equipment Combat'!D307&lt;1,INT(10*'Equipment Combat'!D307)&amp;"L",INT('Equipment Combat'!D307)&amp;"B")))</f>
        <v/>
      </c>
      <c r="W52" s="1332" t="str">
        <f>IF('Equipment Combat'!D50="","",'Equipment Combat'!D50&amp;" ("&amp;'Equipment Combat'!D157&amp;")")</f>
        <v/>
      </c>
      <c r="X52" s="1333"/>
      <c r="Y52" s="1335"/>
      <c r="Z52" s="1333"/>
      <c r="AA52" s="716" t="str">
        <f>IF('Equipment Combat'!D103="","",'Equipment Combat'!D103)</f>
        <v/>
      </c>
      <c r="AB52" s="717" t="str">
        <f>IF('Equipment Combat'!D157="Stowed","["&amp;IF('Equipment Combat'!D264&lt;0.1,"",IF('Equipment Combat'!D264&lt;1,INT(10*'Equipment Combat'!D264)&amp;"L",INT('Equipment Combat'!D264)&amp;"B"))&amp;"]",IF('Equipment Combat'!D320&lt;0.1,"",IF('Equipment Combat'!D320&lt;1,INT(10*'Equipment Combat'!D320)&amp;"L",INT('Equipment Combat'!D320)&amp;"B")))</f>
        <v/>
      </c>
      <c r="AC52" s="637"/>
    </row>
    <row r="53" spans="1:29" ht="19.5" customHeight="1" x14ac:dyDescent="0.25">
      <c r="A53" s="656"/>
      <c r="B53" s="1332" t="str">
        <f>IF('Equipment Combat'!D12="","",'Equipment Combat'!D12&amp;" ("&amp;'Equipment Combat'!D119&amp;")")</f>
        <v>Rope 50' (Stowed)</v>
      </c>
      <c r="C53" s="1333"/>
      <c r="D53" s="1333"/>
      <c r="E53" s="1334"/>
      <c r="F53" s="1335"/>
      <c r="G53" s="716">
        <f>IF('Equipment Combat'!D65="","",'Equipment Combat'!D65)</f>
        <v>1</v>
      </c>
      <c r="H53" s="717" t="str">
        <f>IF('Equipment Combat'!D119="Stowed","["&amp;IF('Equipment Combat'!D226&lt;0.1,"",IF('Equipment Combat'!D226&lt;1,INT(10*'Equipment Combat'!D226)&amp;"L",INT('Equipment Combat'!D226)&amp;"B"))&amp;"]",IF('Equipment Combat'!D282&lt;0.1,"",IF('Equipment Combat'!D282&lt;1,INT(10*'Equipment Combat'!D282)&amp;"L",INT('Equipment Combat'!D282)&amp;"B")))</f>
        <v>[1L]</v>
      </c>
      <c r="I53" s="1332" t="str">
        <f>IF('Equipment Combat'!D25="","",'Equipment Combat'!D25&amp;" ("&amp;'Equipment Combat'!D132&amp;")")</f>
        <v>Scroll of Darkvision (L2) (Worn)</v>
      </c>
      <c r="J53" s="1333"/>
      <c r="K53" s="1334"/>
      <c r="L53" s="1335"/>
      <c r="M53" s="1333"/>
      <c r="N53" s="716">
        <f>IF('Equipment Combat'!D78="","",'Equipment Combat'!D78)</f>
        <v>1</v>
      </c>
      <c r="O53" s="717" t="str">
        <f>IF('Equipment Combat'!D132="Stowed","["&amp;IF('Equipment Combat'!D239&lt;0.1,"",IF('Equipment Combat'!D239&lt;1,INT(10*'Equipment Combat'!D239)&amp;"L",INT('Equipment Combat'!D239)&amp;"B"))&amp;"]",IF('Equipment Combat'!D295&lt;0.1,"",IF('Equipment Combat'!D295&lt;1,INT(10*'Equipment Combat'!D295)&amp;"L",INT('Equipment Combat'!D295)&amp;"B")))</f>
        <v>1L</v>
      </c>
      <c r="P53" s="1332" t="str">
        <f>IF('Equipment Combat'!D38="","",'Equipment Combat'!D38&amp;" ("&amp;'Equipment Combat'!D145&amp;")")</f>
        <v/>
      </c>
      <c r="Q53" s="1333"/>
      <c r="R53" s="1334"/>
      <c r="S53" s="1335"/>
      <c r="T53" s="1333"/>
      <c r="U53" s="716" t="str">
        <f>IF('Equipment Combat'!D91="","",'Equipment Combat'!D91)</f>
        <v/>
      </c>
      <c r="V53" s="717" t="str">
        <f>IF('Equipment Combat'!D145="Stowed","["&amp;IF('Equipment Combat'!D252&lt;0.1,"",IF('Equipment Combat'!D252&lt;1,INT(10*'Equipment Combat'!D252)&amp;"L",INT('Equipment Combat'!D252)&amp;"B"))&amp;"]",IF('Equipment Combat'!D308&lt;0.1,"",IF('Equipment Combat'!D308&lt;1,INT(10*'Equipment Combat'!D308)&amp;"L",INT('Equipment Combat'!D308)&amp;"B")))</f>
        <v/>
      </c>
      <c r="W53" s="1332" t="str">
        <f>IF('Equipment Combat'!D51="","",'Equipment Combat'!D51&amp;" ("&amp;'Equipment Combat'!D158&amp;")")</f>
        <v/>
      </c>
      <c r="X53" s="1333"/>
      <c r="Y53" s="1335"/>
      <c r="Z53" s="1333"/>
      <c r="AA53" s="716" t="str">
        <f>IF('Equipment Combat'!D104="","",'Equipment Combat'!D104)</f>
        <v/>
      </c>
      <c r="AB53" s="717" t="str">
        <f>IF('Equipment Combat'!D158="Stowed","["&amp;IF('Equipment Combat'!D265&lt;0.1,"",IF('Equipment Combat'!D265&lt;1,INT(10*'Equipment Combat'!D265)&amp;"L",INT('Equipment Combat'!D265)&amp;"B"))&amp;"]",IF('Equipment Combat'!D321&lt;0.1,"",IF('Equipment Combat'!D321&lt;1,INT(10*'Equipment Combat'!D321)&amp;"L",INT('Equipment Combat'!D321)&amp;"B")))</f>
        <v/>
      </c>
      <c r="AC53" s="637"/>
    </row>
    <row r="54" spans="1:29" ht="19.5" customHeight="1" x14ac:dyDescent="0.25">
      <c r="A54" s="656"/>
      <c r="B54" s="1332" t="str">
        <f>IF('Equipment Combat'!D13="","",'Equipment Combat'!D13&amp;" ("&amp;'Equipment Combat'!D120&amp;")")</f>
        <v>Soap (Stowed)</v>
      </c>
      <c r="C54" s="1333"/>
      <c r="D54" s="1333"/>
      <c r="E54" s="1334"/>
      <c r="F54" s="1335"/>
      <c r="G54" s="716">
        <f>IF('Equipment Combat'!D66="","",'Equipment Combat'!D66)</f>
        <v>1</v>
      </c>
      <c r="H54" s="717" t="str">
        <f>IF('Equipment Combat'!D120="Stowed","["&amp;IF('Equipment Combat'!D227&lt;0.1,"",IF('Equipment Combat'!D227&lt;1,INT(10*'Equipment Combat'!D227)&amp;"L",INT('Equipment Combat'!D227)&amp;"B"))&amp;"]",IF('Equipment Combat'!D283&lt;0.1,"",IF('Equipment Combat'!D283&lt;1,INT(10*'Equipment Combat'!D283)&amp;"L",INT('Equipment Combat'!D283)&amp;"B")))</f>
        <v>[]</v>
      </c>
      <c r="I54" s="1332" t="str">
        <f>IF('Equipment Combat'!D26="","",'Equipment Combat'!D26&amp;" ("&amp;'Equipment Combat'!D133&amp;")")</f>
        <v>Silk Pyjama (25 gp) (Stowed)</v>
      </c>
      <c r="J54" s="1333"/>
      <c r="K54" s="1334"/>
      <c r="L54" s="1335"/>
      <c r="M54" s="1333"/>
      <c r="N54" s="716">
        <f>IF('Equipment Combat'!D79="","",'Equipment Combat'!D79)</f>
        <v>1</v>
      </c>
      <c r="O54" s="717" t="str">
        <f>IF('Equipment Combat'!D133="Stowed","["&amp;IF('Equipment Combat'!D240&lt;0.1,"",IF('Equipment Combat'!D240&lt;1,INT(10*'Equipment Combat'!D240)&amp;"L",INT('Equipment Combat'!D240)&amp;"B"))&amp;"]",IF('Equipment Combat'!D296&lt;0.1,"",IF('Equipment Combat'!D296&lt;1,INT(10*'Equipment Combat'!D296)&amp;"L",INT('Equipment Combat'!D296)&amp;"B")))</f>
        <v>[1L]</v>
      </c>
      <c r="P54" s="1332" t="str">
        <f>IF('Equipment Combat'!D39="","",'Equipment Combat'!D39&amp;" ("&amp;'Equipment Combat'!D146&amp;")")</f>
        <v/>
      </c>
      <c r="Q54" s="1333"/>
      <c r="R54" s="1334"/>
      <c r="S54" s="1335"/>
      <c r="T54" s="1333"/>
      <c r="U54" s="716" t="str">
        <f>IF('Equipment Combat'!D92="","",'Equipment Combat'!D92)</f>
        <v/>
      </c>
      <c r="V54" s="717" t="str">
        <f>IF('Equipment Combat'!D146="Stowed","["&amp;IF('Equipment Combat'!D253&lt;0.1,"",IF('Equipment Combat'!D253&lt;1,INT(10*'Equipment Combat'!D253)&amp;"L",INT('Equipment Combat'!D253)&amp;"B"))&amp;"]",IF('Equipment Combat'!D309&lt;0.1,"",IF('Equipment Combat'!D309&lt;1,INT(10*'Equipment Combat'!D309)&amp;"L",INT('Equipment Combat'!D309)&amp;"B")))</f>
        <v/>
      </c>
      <c r="W54" s="1332" t="str">
        <f>IF('Equipment Combat'!D52="","",'Equipment Combat'!D52&amp;" ("&amp;'Equipment Combat'!D159&amp;")")</f>
        <v/>
      </c>
      <c r="X54" s="1333"/>
      <c r="Y54" s="1335"/>
      <c r="Z54" s="1333"/>
      <c r="AA54" s="716" t="str">
        <f>IF('Equipment Combat'!D105="","",'Equipment Combat'!D105)</f>
        <v/>
      </c>
      <c r="AB54" s="717" t="str">
        <f>IF('Equipment Combat'!D159="Stowed","["&amp;IF('Equipment Combat'!D266&lt;0.1,"",IF('Equipment Combat'!D266&lt;1,INT(10*'Equipment Combat'!D266)&amp;"L",INT('Equipment Combat'!D266)&amp;"B"))&amp;"]",IF('Equipment Combat'!D322&lt;0.1,"",IF('Equipment Combat'!D322&lt;1,INT(10*'Equipment Combat'!D322)&amp;"L",INT('Equipment Combat'!D322)&amp;"B")))</f>
        <v/>
      </c>
      <c r="AC54" s="637"/>
    </row>
    <row r="55" spans="1:29" ht="19.5" customHeight="1" x14ac:dyDescent="0.25">
      <c r="A55" s="656"/>
      <c r="B55" s="1332" t="str">
        <f>IF('Equipment Combat'!D14="","",'Equipment Combat'!D14&amp;" ("&amp;'Equipment Combat'!D121&amp;")")</f>
        <v>Torch (Stowed)</v>
      </c>
      <c r="C55" s="1333"/>
      <c r="D55" s="1333"/>
      <c r="E55" s="1334"/>
      <c r="F55" s="1335"/>
      <c r="G55" s="716">
        <f>IF('Equipment Combat'!D67="","",'Equipment Combat'!D67)</f>
        <v>5</v>
      </c>
      <c r="H55" s="717" t="str">
        <f>IF('Equipment Combat'!D121="Stowed","["&amp;IF('Equipment Combat'!D228&lt;0.1,"",IF('Equipment Combat'!D228&lt;1,INT(10*'Equipment Combat'!D228)&amp;"L",INT('Equipment Combat'!D228)&amp;"B"))&amp;"]",IF('Equipment Combat'!D284&lt;0.1,"",IF('Equipment Combat'!D284&lt;1,INT(10*'Equipment Combat'!D284)&amp;"L",INT('Equipment Combat'!D284)&amp;"B")))</f>
        <v>[5L]</v>
      </c>
      <c r="I55" s="1332" t="str">
        <f>IF('Equipment Combat'!D27="","",'Equipment Combat'!D27&amp;" ("&amp;'Equipment Combat'!D134&amp;")")</f>
        <v>Elixir of Life (Lesser) (Worn)</v>
      </c>
      <c r="J55" s="1333"/>
      <c r="K55" s="1334"/>
      <c r="L55" s="1335"/>
      <c r="M55" s="1333"/>
      <c r="N55" s="716">
        <f>IF('Equipment Combat'!D80="","",'Equipment Combat'!D80)</f>
        <v>1</v>
      </c>
      <c r="O55" s="717" t="str">
        <f>IF('Equipment Combat'!D134="Stowed","["&amp;IF('Equipment Combat'!D241&lt;0.1,"",IF('Equipment Combat'!D241&lt;1,INT(10*'Equipment Combat'!D241)&amp;"L",INT('Equipment Combat'!D241)&amp;"B"))&amp;"]",IF('Equipment Combat'!D297&lt;0.1,"",IF('Equipment Combat'!D297&lt;1,INT(10*'Equipment Combat'!D297)&amp;"L",INT('Equipment Combat'!D297)&amp;"B")))</f>
        <v>1L</v>
      </c>
      <c r="P55" s="1332" t="str">
        <f>IF('Equipment Combat'!D40="","",'Equipment Combat'!D40&amp;" ("&amp;'Equipment Combat'!D147&amp;")")</f>
        <v/>
      </c>
      <c r="Q55" s="1333"/>
      <c r="R55" s="1334"/>
      <c r="S55" s="1335"/>
      <c r="T55" s="1333"/>
      <c r="U55" s="716" t="str">
        <f>IF('Equipment Combat'!D93="","",'Equipment Combat'!D93)</f>
        <v/>
      </c>
      <c r="V55" s="717" t="str">
        <f>IF('Equipment Combat'!D147="Stowed","["&amp;IF('Equipment Combat'!D254&lt;0.1,"",IF('Equipment Combat'!D254&lt;1,INT(10*'Equipment Combat'!D254)&amp;"L",INT('Equipment Combat'!D254)&amp;"B"))&amp;"]",IF('Equipment Combat'!D310&lt;0.1,"",IF('Equipment Combat'!D310&lt;1,INT(10*'Equipment Combat'!D310)&amp;"L",INT('Equipment Combat'!D310)&amp;"B")))</f>
        <v/>
      </c>
      <c r="W55" s="1332" t="str">
        <f>IF('Equipment Combat'!D53="","",'Equipment Combat'!D53&amp;" ("&amp;'Equipment Combat'!D160&amp;")")</f>
        <v/>
      </c>
      <c r="X55" s="1333"/>
      <c r="Y55" s="1335"/>
      <c r="Z55" s="1333"/>
      <c r="AA55" s="716" t="str">
        <f>IF('Equipment Combat'!D106="","",'Equipment Combat'!D106)</f>
        <v/>
      </c>
      <c r="AB55" s="717" t="str">
        <f>IF('Equipment Combat'!D160="Stowed","["&amp;IF('Equipment Combat'!D267&lt;0.1,"",IF('Equipment Combat'!D267&lt;1,INT(10*'Equipment Combat'!D267)&amp;"L",INT('Equipment Combat'!D267)&amp;"B"))&amp;"]",IF('Equipment Combat'!D323&lt;0.1,"",IF('Equipment Combat'!D323&lt;1,INT(10*'Equipment Combat'!D323)&amp;"L",INT('Equipment Combat'!D323)&amp;"B")))</f>
        <v/>
      </c>
      <c r="AC55" s="637"/>
    </row>
    <row r="56" spans="1:29" ht="19.5" customHeight="1" x14ac:dyDescent="0.25">
      <c r="A56" s="656"/>
      <c r="B56" s="1332" t="str">
        <f>IF('Equipment Combat'!D15="","",'Equipment Combat'!D15&amp;" ("&amp;'Equipment Combat'!D122&amp;")")</f>
        <v>Waterskin (Stowed)</v>
      </c>
      <c r="C56" s="1333"/>
      <c r="D56" s="1333"/>
      <c r="E56" s="1334"/>
      <c r="F56" s="1335"/>
      <c r="G56" s="716">
        <f>IF('Equipment Combat'!D68="","",'Equipment Combat'!D68)</f>
        <v>1</v>
      </c>
      <c r="H56" s="717" t="str">
        <f>IF('Equipment Combat'!D122="Stowed","["&amp;IF('Equipment Combat'!D229&lt;0.1,"",IF('Equipment Combat'!D229&lt;1,INT(10*'Equipment Combat'!D229)&amp;"L",INT('Equipment Combat'!D229)&amp;"B"))&amp;"]",IF('Equipment Combat'!D285&lt;0.1,"",IF('Equipment Combat'!D285&lt;1,INT(10*'Equipment Combat'!D285)&amp;"L",INT('Equipment Combat'!D285)&amp;"B")))</f>
        <v>[1L]</v>
      </c>
      <c r="I56" s="1332" t="str">
        <f>IF('Equipment Combat'!D28="","",'Equipment Combat'!D28&amp;" ("&amp;'Equipment Combat'!D135&amp;")")</f>
        <v>Antiplague (Lesser) (Worn)</v>
      </c>
      <c r="J56" s="1333"/>
      <c r="K56" s="1334"/>
      <c r="L56" s="1335"/>
      <c r="M56" s="1333"/>
      <c r="N56" s="716">
        <f>IF('Equipment Combat'!D81="","",'Equipment Combat'!D81)</f>
        <v>1</v>
      </c>
      <c r="O56" s="717" t="str">
        <f>IF('Equipment Combat'!D135="Stowed","["&amp;IF('Equipment Combat'!D242&lt;0.1,"",IF('Equipment Combat'!D242&lt;1,INT(10*'Equipment Combat'!D242)&amp;"L",INT('Equipment Combat'!D242)&amp;"B"))&amp;"]",IF('Equipment Combat'!D298&lt;0.1,"",IF('Equipment Combat'!D298&lt;1,INT(10*'Equipment Combat'!D298)&amp;"L",INT('Equipment Combat'!D298)&amp;"B")))</f>
        <v>1L</v>
      </c>
      <c r="P56" s="1332" t="str">
        <f>IF('Equipment Combat'!D41="","",'Equipment Combat'!D41&amp;" ("&amp;'Equipment Combat'!D148&amp;")")</f>
        <v/>
      </c>
      <c r="Q56" s="1333"/>
      <c r="R56" s="1334"/>
      <c r="S56" s="1335"/>
      <c r="T56" s="1333"/>
      <c r="U56" s="716" t="str">
        <f>IF('Equipment Combat'!D94="","",'Equipment Combat'!D94)</f>
        <v/>
      </c>
      <c r="V56" s="717" t="str">
        <f>IF('Equipment Combat'!D148="Stowed","["&amp;IF('Equipment Combat'!D255&lt;0.1,"",IF('Equipment Combat'!D255&lt;1,INT(10*'Equipment Combat'!D255)&amp;"L",INT('Equipment Combat'!D255)&amp;"B"))&amp;"]",IF('Equipment Combat'!D311&lt;0.1,"",IF('Equipment Combat'!D311&lt;1,INT(10*'Equipment Combat'!D311)&amp;"L",INT('Equipment Combat'!D311)&amp;"B")))</f>
        <v/>
      </c>
      <c r="W56" s="1332" t="str">
        <f>IF('Equipment Combat'!D54="","",'Equipment Combat'!D54&amp;" ("&amp;'Equipment Combat'!D161&amp;")")</f>
        <v/>
      </c>
      <c r="X56" s="1333"/>
      <c r="Y56" s="1335"/>
      <c r="Z56" s="1333"/>
      <c r="AA56" s="716" t="str">
        <f>IF('Equipment Combat'!D107="","",'Equipment Combat'!D107)</f>
        <v/>
      </c>
      <c r="AB56" s="717" t="str">
        <f>IF('Equipment Combat'!D161="Stowed","["&amp;IF('Equipment Combat'!D268&lt;0.1,"",IF('Equipment Combat'!D268&lt;1,INT(10*'Equipment Combat'!D268)&amp;"L",INT('Equipment Combat'!D268)&amp;"B"))&amp;"]",IF('Equipment Combat'!D324&lt;0.1,"",IF('Equipment Combat'!D324&lt;1,INT(10*'Equipment Combat'!D324)&amp;"L",INT('Equipment Combat'!D324)&amp;"B")))</f>
        <v/>
      </c>
      <c r="AC56" s="637"/>
    </row>
    <row r="57" spans="1:29" ht="19.5" customHeight="1" x14ac:dyDescent="0.25">
      <c r="A57" s="656"/>
      <c r="B57" s="1332" t="str">
        <f>IF('Equipment Combat'!D16="","",'Equipment Combat'!D16&amp;" ("&amp;'Equipment Combat'!D123&amp;")")</f>
        <v>Dagger (1d4) (Worn)</v>
      </c>
      <c r="C57" s="1333"/>
      <c r="D57" s="1333"/>
      <c r="E57" s="1334"/>
      <c r="F57" s="1335"/>
      <c r="G57" s="716">
        <f>IF('Equipment Combat'!D69="","",'Equipment Combat'!D69)</f>
        <v>1</v>
      </c>
      <c r="H57" s="717" t="str">
        <f>IF('Equipment Combat'!D123="Stowed","["&amp;IF('Equipment Combat'!D230&lt;0.1,"",IF('Equipment Combat'!D230&lt;1,INT(10*'Equipment Combat'!D230)&amp;"L",INT('Equipment Combat'!D230)&amp;"B"))&amp;"]",IF('Equipment Combat'!D286&lt;0.1,"",IF('Equipment Combat'!D286&lt;1,INT(10*'Equipment Combat'!D286)&amp;"L",INT('Equipment Combat'!D286)&amp;"B")))</f>
        <v>1L</v>
      </c>
      <c r="I57" s="1332" t="str">
        <f>IF('Equipment Combat'!D29="","",'Equipment Combat'!D29&amp;" ("&amp;'Equipment Combat'!D136&amp;")")</f>
        <v>Cinderclaw Gauntlet (Worn)</v>
      </c>
      <c r="J57" s="1333"/>
      <c r="K57" s="1334"/>
      <c r="L57" s="1335"/>
      <c r="M57" s="1333"/>
      <c r="N57" s="716">
        <f>IF('Equipment Combat'!D82="","",'Equipment Combat'!D82)</f>
        <v>1</v>
      </c>
      <c r="O57" s="717" t="str">
        <f>IF('Equipment Combat'!D136="Stowed","["&amp;IF('Equipment Combat'!D243&lt;0.1,"",IF('Equipment Combat'!D243&lt;1,INT(10*'Equipment Combat'!D243)&amp;"L",INT('Equipment Combat'!D243)&amp;"B"))&amp;"]",IF('Equipment Combat'!D299&lt;0.1,"",IF('Equipment Combat'!D299&lt;1,INT(10*'Equipment Combat'!D299)&amp;"L",INT('Equipment Combat'!D299)&amp;"B")))</f>
        <v>1L</v>
      </c>
      <c r="P57" s="1332" t="str">
        <f>IF('Equipment Combat'!D42="","",'Equipment Combat'!D42&amp;" ("&amp;'Equipment Combat'!D149&amp;")")</f>
        <v/>
      </c>
      <c r="Q57" s="1333"/>
      <c r="R57" s="1334"/>
      <c r="S57" s="1335"/>
      <c r="T57" s="1333"/>
      <c r="U57" s="716" t="str">
        <f>IF('Equipment Combat'!D95="","",'Equipment Combat'!D95)</f>
        <v/>
      </c>
      <c r="V57" s="717" t="str">
        <f>IF('Equipment Combat'!D149="Stowed","["&amp;IF('Equipment Combat'!D256&lt;0.1,"",IF('Equipment Combat'!D256&lt;1,INT(10*'Equipment Combat'!D256)&amp;"L",INT('Equipment Combat'!D256)&amp;"B"))&amp;"]",IF('Equipment Combat'!D312&lt;0.1,"",IF('Equipment Combat'!D312&lt;1,INT(10*'Equipment Combat'!D312)&amp;"L",INT('Equipment Combat'!D312)&amp;"B")))</f>
        <v/>
      </c>
      <c r="W57" s="1332" t="str">
        <f>IF('Equipment Combat'!D55="","",'Equipment Combat'!D55&amp;" ("&amp;'Equipment Combat'!D162&amp;")")</f>
        <v/>
      </c>
      <c r="X57" s="1333"/>
      <c r="Y57" s="1335"/>
      <c r="Z57" s="1333"/>
      <c r="AA57" s="716" t="str">
        <f>IF('Equipment Combat'!D108="","",'Equipment Combat'!D108)</f>
        <v/>
      </c>
      <c r="AB57" s="717" t="str">
        <f>IF('Equipment Combat'!D162="Stowed","["&amp;IF('Equipment Combat'!D269&lt;0.1,"",IF('Equipment Combat'!D269&lt;1,INT(10*'Equipment Combat'!D269)&amp;"L",INT('Equipment Combat'!D269)&amp;"B"))&amp;"]",IF('Equipment Combat'!D325&lt;0.1,"",IF('Equipment Combat'!D325&lt;1,INT(10*'Equipment Combat'!D325)&amp;"L",INT('Equipment Combat'!D325)&amp;"B")))</f>
        <v/>
      </c>
      <c r="AC57" s="637"/>
    </row>
    <row r="58" spans="1:29" ht="19.5" customHeight="1" x14ac:dyDescent="0.25">
      <c r="A58" s="656"/>
      <c r="B58" s="1332" t="str">
        <f>IF('Equipment Combat'!D17="","",'Equipment Combat'!D17&amp;" ("&amp;'Equipment Combat'!D124&amp;")")</f>
        <v>Greataxe (1d12 2H) (Held)</v>
      </c>
      <c r="C58" s="1333"/>
      <c r="D58" s="1333"/>
      <c r="E58" s="1333"/>
      <c r="F58" s="1335"/>
      <c r="G58" s="716">
        <f>IF('Equipment Combat'!D70="","",'Equipment Combat'!D70)</f>
        <v>1</v>
      </c>
      <c r="H58" s="717" t="str">
        <f>IF('Equipment Combat'!D124="Stowed","["&amp;IF('Equipment Combat'!D231&lt;0.1,"",IF('Equipment Combat'!D231&lt;1,INT(10*'Equipment Combat'!D231)&amp;"L",INT('Equipment Combat'!D231)&amp;"B"))&amp;"]",IF('Equipment Combat'!D287&lt;0.1,"",IF('Equipment Combat'!D287&lt;1,INT(10*'Equipment Combat'!D287)&amp;"L",INT('Equipment Combat'!D287)&amp;"B")))</f>
        <v>2B</v>
      </c>
      <c r="I58" s="1332" t="str">
        <f>IF('Equipment Combat'!D30="","",'Equipment Combat'!D30&amp;" ("&amp;'Equipment Combat'!D137&amp;")")</f>
        <v/>
      </c>
      <c r="J58" s="1333"/>
      <c r="K58" s="1333"/>
      <c r="L58" s="1335"/>
      <c r="M58" s="1333"/>
      <c r="N58" s="716" t="str">
        <f>IF('Equipment Combat'!D83="","",'Equipment Combat'!D83)</f>
        <v/>
      </c>
      <c r="O58" s="717" t="str">
        <f>IF('Equipment Combat'!D137="Stowed","["&amp;IF('Equipment Combat'!D244&lt;0.1,"",IF('Equipment Combat'!D244&lt;1,INT(10*'Equipment Combat'!D244)&amp;"L",INT('Equipment Combat'!D244)&amp;"B"))&amp;"]",IF('Equipment Combat'!D300&lt;0.1,"",IF('Equipment Combat'!D300&lt;1,INT(10*'Equipment Combat'!D300)&amp;"L",INT('Equipment Combat'!D300)&amp;"B")))</f>
        <v/>
      </c>
      <c r="P58" s="1332" t="str">
        <f>IF('Equipment Combat'!D43="","",'Equipment Combat'!D43&amp;" ("&amp;'Equipment Combat'!D150&amp;")")</f>
        <v/>
      </c>
      <c r="Q58" s="1333"/>
      <c r="R58" s="1333"/>
      <c r="S58" s="1335"/>
      <c r="T58" s="1333"/>
      <c r="U58" s="716" t="str">
        <f>IF('Equipment Combat'!D96="","",'Equipment Combat'!D96)</f>
        <v/>
      </c>
      <c r="V58" s="717" t="str">
        <f>IF('Equipment Combat'!D150="Stowed","["&amp;IF('Equipment Combat'!D257&lt;0.1,"",IF('Equipment Combat'!D257&lt;1,INT(10*'Equipment Combat'!D257)&amp;"L",INT('Equipment Combat'!D257)&amp;"B"))&amp;"]",IF('Equipment Combat'!D313&lt;0.1,"",IF('Equipment Combat'!D313&lt;1,INT(10*'Equipment Combat'!D313)&amp;"L",INT('Equipment Combat'!D313)&amp;"B")))</f>
        <v/>
      </c>
      <c r="W58" s="1332" t="str">
        <f>IF('Equipment Combat'!D56="","",'Equipment Combat'!D56&amp;" ("&amp;'Equipment Combat'!D163&amp;")")</f>
        <v/>
      </c>
      <c r="X58" s="1333"/>
      <c r="Y58" s="1335"/>
      <c r="Z58" s="1333"/>
      <c r="AA58" s="716" t="str">
        <f>IF('Equipment Combat'!D109="","",'Equipment Combat'!D109)</f>
        <v/>
      </c>
      <c r="AB58" s="717" t="str">
        <f>IF('Equipment Combat'!D163="Stowed","["&amp;IF('Equipment Combat'!D270&lt;0.1,"",IF('Equipment Combat'!D270&lt;1,INT(10*'Equipment Combat'!D270)&amp;"L",INT('Equipment Combat'!D270)&amp;"B"))&amp;"]",IF('Equipment Combat'!D326&lt;0.1,"",IF('Equipment Combat'!D326&lt;1,INT(10*'Equipment Combat'!D326)&amp;"L",INT('Equipment Combat'!D326)&amp;"B")))</f>
        <v/>
      </c>
      <c r="AC58" s="637"/>
    </row>
    <row r="59" spans="1:29" ht="19.5" customHeight="1" x14ac:dyDescent="0.25">
      <c r="A59" s="656"/>
      <c r="B59" s="1332" t="str">
        <f>IF('Equipment Combat'!D18="","",'Equipment Combat'!D18&amp;" ("&amp;'Equipment Combat'!D125&amp;")")</f>
        <v>Sling (Reload 1) (Worn)</v>
      </c>
      <c r="C59" s="1333"/>
      <c r="D59" s="1333"/>
      <c r="E59" s="1333"/>
      <c r="F59" s="1335"/>
      <c r="G59" s="716">
        <f>IF('Equipment Combat'!D71="","",'Equipment Combat'!D71)</f>
        <v>1</v>
      </c>
      <c r="H59" s="717" t="str">
        <f>IF('Equipment Combat'!D125="Stowed","["&amp;IF('Equipment Combat'!D232&lt;0.1,"",IF('Equipment Combat'!D232&lt;1,INT(10*'Equipment Combat'!D232)&amp;"L",INT('Equipment Combat'!D232)&amp;"B"))&amp;"]",IF('Equipment Combat'!D288&lt;0.1,"",IF('Equipment Combat'!D288&lt;1,INT(10*'Equipment Combat'!D288)&amp;"L",INT('Equipment Combat'!D288)&amp;"B")))</f>
        <v>1L</v>
      </c>
      <c r="I59" s="1332" t="str">
        <f>IF('Equipment Combat'!D31="","",'Equipment Combat'!D31&amp;" ("&amp;'Equipment Combat'!D138&amp;")")</f>
        <v/>
      </c>
      <c r="J59" s="1333"/>
      <c r="K59" s="1333"/>
      <c r="L59" s="1335"/>
      <c r="M59" s="1333"/>
      <c r="N59" s="716" t="str">
        <f>IF('Equipment Combat'!D84="","",'Equipment Combat'!D84)</f>
        <v/>
      </c>
      <c r="O59" s="717" t="str">
        <f>IF('Equipment Combat'!D138="Stowed","["&amp;IF('Equipment Combat'!D245&lt;0.1,"",IF('Equipment Combat'!D245&lt;1,INT(10*'Equipment Combat'!D245)&amp;"L",INT('Equipment Combat'!D245)&amp;"B"))&amp;"]",IF('Equipment Combat'!D301&lt;0.1,"",IF('Equipment Combat'!D301&lt;1,INT(10*'Equipment Combat'!D301)&amp;"L",INT('Equipment Combat'!D301)&amp;"B")))</f>
        <v/>
      </c>
      <c r="P59" s="1332" t="str">
        <f>IF('Equipment Combat'!D44="","",'Equipment Combat'!D44&amp;" ("&amp;'Equipment Combat'!D151&amp;")")</f>
        <v/>
      </c>
      <c r="Q59" s="1333"/>
      <c r="R59" s="1333"/>
      <c r="S59" s="1335"/>
      <c r="T59" s="1333"/>
      <c r="U59" s="716" t="str">
        <f>IF('Equipment Combat'!D97="","",'Equipment Combat'!D97)</f>
        <v/>
      </c>
      <c r="V59" s="717" t="str">
        <f>IF('Equipment Combat'!D151="Stowed","["&amp;IF('Equipment Combat'!D258&lt;0.1,"",IF('Equipment Combat'!D258&lt;1,INT(10*'Equipment Combat'!D258)&amp;"L",INT('Equipment Combat'!D258)&amp;"B"))&amp;"]",IF('Equipment Combat'!D314&lt;0.1,"",IF('Equipment Combat'!D314&lt;1,INT(10*'Equipment Combat'!D314)&amp;"L",INT('Equipment Combat'!D314)&amp;"B")))</f>
        <v/>
      </c>
      <c r="W59" s="1332" t="str">
        <f>IF('Equipment Combat'!D57="","",'Equipment Combat'!D57&amp;" ("&amp;'Equipment Combat'!D164&amp;")")</f>
        <v/>
      </c>
      <c r="X59" s="1333"/>
      <c r="Y59" s="1335"/>
      <c r="Z59" s="1333"/>
      <c r="AA59" s="716" t="str">
        <f>IF('Equipment Combat'!D110="","",'Equipment Combat'!D110)</f>
        <v/>
      </c>
      <c r="AB59" s="717" t="str">
        <f>IF('Equipment Combat'!D164="Stowed","["&amp;IF('Equipment Combat'!D271&lt;0.1,"",IF('Equipment Combat'!D271&lt;1,INT(10*'Equipment Combat'!D271)&amp;"L",INT('Equipment Combat'!D271)&amp;"B"))&amp;"]",IF('Equipment Combat'!D327&lt;0.1,"",IF('Equipment Combat'!D327&lt;1,INT(10*'Equipment Combat'!D327)&amp;"L",INT('Equipment Combat'!D327)&amp;"B")))</f>
        <v/>
      </c>
      <c r="AC59" s="637"/>
    </row>
    <row r="60" spans="1:29" ht="19.5" customHeight="1" x14ac:dyDescent="0.25">
      <c r="A60" s="656"/>
      <c r="B60" s="1336" t="str">
        <f>IF('Equipment Combat'!D19="","",'Equipment Combat'!D19&amp;" ("&amp;'Equipment Combat'!D126&amp;")")</f>
        <v>Bullet (1d6) (Worn)</v>
      </c>
      <c r="C60" s="1337"/>
      <c r="D60" s="1337"/>
      <c r="E60" s="1337"/>
      <c r="F60" s="1338"/>
      <c r="G60" s="915">
        <f>IF('Equipment Combat'!D72="","",'Equipment Combat'!D72)</f>
        <v>20</v>
      </c>
      <c r="H60" s="916" t="str">
        <f>IF('Equipment Combat'!D126="Stowed","["&amp;IF('Equipment Combat'!D233&lt;0.1,"",IF('Equipment Combat'!D233&lt;1,INT(10*'Equipment Combat'!D233)&amp;"L",INT('Equipment Combat'!D233)&amp;"B"))&amp;"]",IF('Equipment Combat'!D289&lt;0.1,"",IF('Equipment Combat'!D289&lt;1,INT(10*'Equipment Combat'!D289)&amp;"L",INT('Equipment Combat'!D289)&amp;"B")))</f>
        <v>2L</v>
      </c>
      <c r="I60" s="1336" t="str">
        <f>IF('Equipment Combat'!D32="","",'Equipment Combat'!D32&amp;" ("&amp;'Equipment Combat'!D139&amp;")")</f>
        <v/>
      </c>
      <c r="J60" s="1337"/>
      <c r="K60" s="1337"/>
      <c r="L60" s="1338"/>
      <c r="M60" s="1337"/>
      <c r="N60" s="915" t="str">
        <f>IF('Equipment Combat'!D85="","",'Equipment Combat'!D85)</f>
        <v/>
      </c>
      <c r="O60" s="916" t="str">
        <f>IF('Equipment Combat'!D139="Stowed","["&amp;IF('Equipment Combat'!D246&lt;0.1,"",IF('Equipment Combat'!D246&lt;1,INT(10*'Equipment Combat'!D246)&amp;"L",INT('Equipment Combat'!D246)&amp;"B"))&amp;"]",IF('Equipment Combat'!D302&lt;0.1,"",IF('Equipment Combat'!D302&lt;1,INT(10*'Equipment Combat'!D302)&amp;"L",INT('Equipment Combat'!D302)&amp;"B")))</f>
        <v/>
      </c>
      <c r="P60" s="1336" t="str">
        <f>IF('Equipment Combat'!D45="","",'Equipment Combat'!D45&amp;" ("&amp;'Equipment Combat'!D152&amp;")")</f>
        <v/>
      </c>
      <c r="Q60" s="1337"/>
      <c r="R60" s="1337"/>
      <c r="S60" s="1338"/>
      <c r="T60" s="1337"/>
      <c r="U60" s="915" t="str">
        <f>IF('Equipment Combat'!D98="","",'Equipment Combat'!D98)</f>
        <v/>
      </c>
      <c r="V60" s="916" t="str">
        <f>IF('Equipment Combat'!D152="Stowed","["&amp;IF('Equipment Combat'!D259&lt;0.1,"",IF('Equipment Combat'!D259&lt;1,INT(10*'Equipment Combat'!D259)&amp;"L",INT('Equipment Combat'!D259)&amp;"B"))&amp;"]",IF('Equipment Combat'!D315&lt;0.1,"",IF('Equipment Combat'!D315&lt;1,INT(10*'Equipment Combat'!D315)&amp;"L",INT('Equipment Combat'!D315)&amp;"B")))</f>
        <v/>
      </c>
      <c r="W60" s="1336" t="str">
        <f>IF('Equipment Combat'!D58="","",'Equipment Combat'!D58&amp;" ("&amp;'Equipment Combat'!D165&amp;")")</f>
        <v/>
      </c>
      <c r="X60" s="1337"/>
      <c r="Y60" s="1338"/>
      <c r="Z60" s="1337"/>
      <c r="AA60" s="915" t="str">
        <f>IF('Equipment Combat'!D111="","",'Equipment Combat'!D111)</f>
        <v/>
      </c>
      <c r="AB60" s="916" t="str">
        <f>IF('Equipment Combat'!D165="Stowed","["&amp;IF('Equipment Combat'!D272&lt;0.1,"",IF('Equipment Combat'!D272&lt;1,INT(10*'Equipment Combat'!D272)&amp;"L",INT('Equipment Combat'!D272)&amp;"B"))&amp;"]",IF('Equipment Combat'!D328&lt;0.1,"",IF('Equipment Combat'!D328&lt;1,INT(10*'Equipment Combat'!D328)&amp;"L",INT('Equipment Combat'!D328)&amp;"B")))</f>
        <v/>
      </c>
      <c r="AC60" s="637"/>
    </row>
    <row r="61" spans="1:29"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ht="19.5" customHeight="1" x14ac:dyDescent="0.3">
      <c r="A62" s="656"/>
      <c r="B62" s="718">
        <f>'Equipment Combat'!D3</f>
        <v>0</v>
      </c>
      <c r="C62" s="719">
        <f>'Equipment Combat'!D4</f>
        <v>20</v>
      </c>
      <c r="D62" s="719">
        <f>'Equipment Combat'!D5</f>
        <v>77</v>
      </c>
      <c r="E62" s="720">
        <f>'Equipment Combat'!D6</f>
        <v>2</v>
      </c>
      <c r="F62" s="948"/>
      <c r="G62" s="772">
        <f>'Equipment Combat'!D329</f>
        <v>5</v>
      </c>
      <c r="H62" s="454"/>
      <c r="I62" s="451">
        <f>5+K62</f>
        <v>7</v>
      </c>
      <c r="J62" s="453" t="s">
        <v>512</v>
      </c>
      <c r="K62" s="452">
        <f>'Equipment Combat'!D331</f>
        <v>2</v>
      </c>
      <c r="L62" s="454"/>
      <c r="M62" s="451">
        <f>10+O62</f>
        <v>12</v>
      </c>
      <c r="N62" s="453" t="s">
        <v>513</v>
      </c>
      <c r="O62" s="452">
        <f>K62</f>
        <v>2</v>
      </c>
      <c r="P62" s="454"/>
      <c r="Q62" s="644" t="s">
        <v>505</v>
      </c>
      <c r="R62" s="1544" t="str">
        <f>'Equipment Combat'!D333</f>
        <v>Fine</v>
      </c>
      <c r="S62" s="1545"/>
      <c r="T62" s="1545"/>
      <c r="U62" s="1545"/>
      <c r="V62" s="1545"/>
      <c r="W62" s="1546"/>
      <c r="X62" s="1544" t="str">
        <f>'Equipment Combat'!D274</f>
        <v>Backpack OK</v>
      </c>
      <c r="Y62" s="1545"/>
      <c r="Z62" s="1545"/>
      <c r="AA62" s="1545"/>
      <c r="AB62" s="1546"/>
      <c r="AC62" s="637"/>
    </row>
    <row r="63" spans="1:29" ht="19.5" customHeight="1" x14ac:dyDescent="0.3">
      <c r="A63" s="658"/>
      <c r="B63" s="657" t="s">
        <v>27</v>
      </c>
      <c r="C63" s="628"/>
      <c r="D63" s="628"/>
      <c r="E63" s="628"/>
      <c r="F63" s="789"/>
      <c r="G63" s="628"/>
      <c r="H63" s="645"/>
      <c r="I63" s="628"/>
      <c r="J63" s="659"/>
      <c r="K63" s="628"/>
      <c r="L63" s="645"/>
      <c r="M63" s="628"/>
      <c r="N63" s="659"/>
      <c r="O63" s="628"/>
      <c r="P63" s="645"/>
      <c r="Q63" s="644"/>
      <c r="R63" s="645"/>
      <c r="S63" s="644"/>
      <c r="T63" s="790"/>
      <c r="U63" s="790"/>
      <c r="V63" s="790"/>
      <c r="W63" s="790"/>
      <c r="X63" s="790"/>
      <c r="Y63" s="790"/>
      <c r="Z63" s="790"/>
      <c r="AA63" s="790"/>
      <c r="AB63" s="7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IF(Feats!D5="","",Feats!D5)</f>
        <v>Orc Weapon Familiarity</v>
      </c>
      <c r="C65" s="1411"/>
      <c r="D65" s="1411"/>
      <c r="E65" s="1411"/>
      <c r="F65" s="1411"/>
      <c r="G65" s="1411"/>
      <c r="H65" s="1411"/>
      <c r="I65" s="1411"/>
      <c r="J65" s="1411" t="str">
        <f>IF(Feats!D5="","",Feats!M5)</f>
        <v>Ancestry feat</v>
      </c>
      <c r="K65" s="1411"/>
      <c r="L65" s="1411"/>
      <c r="M65" s="1411"/>
      <c r="N65" s="1412">
        <f>IF(Feats!D5="","",Feats!L5)</f>
        <v>1</v>
      </c>
      <c r="O65" s="1413"/>
      <c r="P65" s="1410" t="str">
        <f>IF(Feats!D29="","",Feats!D29)</f>
        <v>Triple Time</v>
      </c>
      <c r="Q65" s="1411"/>
      <c r="R65" s="1411"/>
      <c r="S65" s="1411"/>
      <c r="T65" s="1411"/>
      <c r="U65" s="1411"/>
      <c r="V65" s="1411"/>
      <c r="W65" s="1411"/>
      <c r="X65" s="1411" t="str">
        <f>IF(Feats!D29="","",Feats!M29)</f>
        <v>Class feat</v>
      </c>
      <c r="Y65" s="1411"/>
      <c r="Z65" s="1411"/>
      <c r="AA65" s="1411"/>
      <c r="AB65" s="1412">
        <f>IF(Feats!D29="","",Feats!L29)</f>
        <v>4</v>
      </c>
      <c r="AC65" s="637"/>
    </row>
    <row r="66" spans="1:29" ht="19.5" customHeight="1" x14ac:dyDescent="0.25">
      <c r="A66" s="656"/>
      <c r="B66" s="1414" t="str">
        <f>IF(Feats!D6="","",Feats!D6)</f>
        <v>Low-light vision</v>
      </c>
      <c r="C66" s="1415"/>
      <c r="D66" s="1415"/>
      <c r="E66" s="1415"/>
      <c r="F66" s="1415"/>
      <c r="G66" s="1415"/>
      <c r="H66" s="1415"/>
      <c r="I66" s="1415"/>
      <c r="J66" s="1415" t="str">
        <f>IF(Feats!D6="","",Feats!M6)</f>
        <v>Ancestry vision</v>
      </c>
      <c r="K66" s="1415"/>
      <c r="L66" s="1415"/>
      <c r="M66" s="1415"/>
      <c r="N66" s="1416">
        <f>IF(Feats!D6="","",Feats!L6)</f>
        <v>1</v>
      </c>
      <c r="O66" s="1413"/>
      <c r="P66" s="1414" t="str">
        <f>IF(Feats!D30="","",Feats!D30)</f>
        <v/>
      </c>
      <c r="Q66" s="1415"/>
      <c r="R66" s="1415"/>
      <c r="S66" s="1415"/>
      <c r="T66" s="1415"/>
      <c r="U66" s="1415"/>
      <c r="V66" s="1415"/>
      <c r="W66" s="1415"/>
      <c r="X66" s="1415" t="str">
        <f>IF(Feats!D30="","",Feats!M30)</f>
        <v/>
      </c>
      <c r="Y66" s="1415"/>
      <c r="Z66" s="1415"/>
      <c r="AA66" s="1415"/>
      <c r="AB66" s="1416" t="str">
        <f>IF(Feats!D30="","",Feats!L30)</f>
        <v/>
      </c>
      <c r="AC66" s="637"/>
    </row>
    <row r="67" spans="1:29" ht="19.5" customHeight="1" x14ac:dyDescent="0.25">
      <c r="A67" s="656"/>
      <c r="B67" s="1414" t="str">
        <f>IF(Feats!D7="","",Feats!D7)</f>
        <v>Specialty Crafting (Bookmaking)</v>
      </c>
      <c r="C67" s="1415"/>
      <c r="D67" s="1415"/>
      <c r="E67" s="1415"/>
      <c r="F67" s="1415"/>
      <c r="G67" s="1415"/>
      <c r="H67" s="1415"/>
      <c r="I67" s="1415"/>
      <c r="J67" s="1415" t="str">
        <f>IF(Feats!D7="","",Feats!M7)</f>
        <v>Background Skill feat</v>
      </c>
      <c r="K67" s="1415"/>
      <c r="L67" s="1415"/>
      <c r="M67" s="1415"/>
      <c r="N67" s="1416">
        <f>IF(Feats!D7="","",Feats!L7)</f>
        <v>1</v>
      </c>
      <c r="O67" s="1413"/>
      <c r="P67" s="1414" t="str">
        <f>IF(Feats!D31="","",Feats!D31)</f>
        <v>3rd level spells</v>
      </c>
      <c r="Q67" s="1415"/>
      <c r="R67" s="1415"/>
      <c r="S67" s="1415"/>
      <c r="T67" s="1415"/>
      <c r="U67" s="1415"/>
      <c r="V67" s="1415"/>
      <c r="W67" s="1415"/>
      <c r="X67" s="1415" t="str">
        <f>IF(Feats!D31="","",Feats!M31)</f>
        <v>Class ability</v>
      </c>
      <c r="Y67" s="1415"/>
      <c r="Z67" s="1415"/>
      <c r="AA67" s="1415"/>
      <c r="AB67" s="1416">
        <f>IF(Feats!D31="","",Feats!L31)</f>
        <v>5</v>
      </c>
      <c r="AC67" s="637"/>
    </row>
    <row r="68" spans="1:29" ht="19.5" customHeight="1" x14ac:dyDescent="0.25">
      <c r="A68" s="656"/>
      <c r="B68" s="1414" t="str">
        <f>IF(Feats!D8="","",Feats!D8)</f>
        <v>Muse = Enigma</v>
      </c>
      <c r="C68" s="1415"/>
      <c r="D68" s="1415"/>
      <c r="E68" s="1415"/>
      <c r="F68" s="1415"/>
      <c r="G68" s="1415"/>
      <c r="H68" s="1415"/>
      <c r="I68" s="1415"/>
      <c r="J68" s="1415" t="str">
        <f>IF(Feats!D8="","",Feats!M8)</f>
        <v>Class details</v>
      </c>
      <c r="K68" s="1415"/>
      <c r="L68" s="1415"/>
      <c r="M68" s="1415"/>
      <c r="N68" s="1416">
        <f>IF(Feats!D8="","",Feats!L8)</f>
        <v>1</v>
      </c>
      <c r="O68" s="1413"/>
      <c r="P68" s="1414" t="str">
        <f>IF(Feats!D32="","",Feats!D32)</f>
        <v/>
      </c>
      <c r="Q68" s="1415"/>
      <c r="R68" s="1415"/>
      <c r="S68" s="1415"/>
      <c r="T68" s="1415"/>
      <c r="U68" s="1415"/>
      <c r="V68" s="1415"/>
      <c r="W68" s="1415"/>
      <c r="X68" s="1415" t="str">
        <f>IF(Feats!D32="","",Feats!M32)</f>
        <v/>
      </c>
      <c r="Y68" s="1415"/>
      <c r="Z68" s="1415"/>
      <c r="AA68" s="1415"/>
      <c r="AB68" s="1416" t="str">
        <f>IF(Feats!D32="","",Feats!L32)</f>
        <v/>
      </c>
      <c r="AC68" s="637"/>
    </row>
    <row r="69" spans="1:29" ht="19.5" customHeight="1" x14ac:dyDescent="0.25">
      <c r="A69" s="656"/>
      <c r="B69" s="1414" t="str">
        <f>IF(Feats!D9="","",Feats!D9)</f>
        <v/>
      </c>
      <c r="C69" s="1415"/>
      <c r="D69" s="1415"/>
      <c r="E69" s="1415"/>
      <c r="F69" s="1415"/>
      <c r="G69" s="1415"/>
      <c r="H69" s="1415"/>
      <c r="I69" s="1415"/>
      <c r="J69" s="1415" t="str">
        <f>IF(Feats!D9="","",Feats!M9)</f>
        <v/>
      </c>
      <c r="K69" s="1415"/>
      <c r="L69" s="1415"/>
      <c r="M69" s="1415"/>
      <c r="N69" s="1416" t="str">
        <f>IF(Feats!D9="","",Feats!L9)</f>
        <v/>
      </c>
      <c r="O69" s="1413"/>
      <c r="P69" s="1414" t="str">
        <f>IF(Feats!D33="","",Feats!D33)</f>
        <v>Orc Weapon Carnage</v>
      </c>
      <c r="Q69" s="1415"/>
      <c r="R69" s="1415"/>
      <c r="S69" s="1415"/>
      <c r="T69" s="1415"/>
      <c r="U69" s="1415"/>
      <c r="V69" s="1415"/>
      <c r="W69" s="1415"/>
      <c r="X69" s="1415" t="str">
        <f>IF(Feats!D33="","",Feats!M33)</f>
        <v>Ancestry feat</v>
      </c>
      <c r="Y69" s="1415"/>
      <c r="Z69" s="1415"/>
      <c r="AA69" s="1415"/>
      <c r="AB69" s="1416">
        <f>IF(Feats!D33="","",Feats!L33)</f>
        <v>5</v>
      </c>
      <c r="AC69" s="637"/>
    </row>
    <row r="70" spans="1:29" ht="19.5" customHeight="1" x14ac:dyDescent="0.25">
      <c r="A70" s="656"/>
      <c r="B70" s="1414" t="str">
        <f>IF(Feats!D10="","",Feats!D10)</f>
        <v>Spell Repertoire</v>
      </c>
      <c r="C70" s="1415"/>
      <c r="D70" s="1415"/>
      <c r="E70" s="1415"/>
      <c r="F70" s="1415"/>
      <c r="G70" s="1415"/>
      <c r="H70" s="1415"/>
      <c r="I70" s="1415"/>
      <c r="J70" s="1415" t="str">
        <f>IF(Feats!D10="","",Feats!M10)</f>
        <v>Class ability</v>
      </c>
      <c r="K70" s="1415"/>
      <c r="L70" s="1415"/>
      <c r="M70" s="1415"/>
      <c r="N70" s="1416">
        <f>IF(Feats!D10="","",Feats!L10)</f>
        <v>1</v>
      </c>
      <c r="O70" s="1413"/>
      <c r="P70" s="1414" t="str">
        <f>IF(Feats!D34="","",Feats!D34)</f>
        <v>Expert in Society</v>
      </c>
      <c r="Q70" s="1415"/>
      <c r="R70" s="1415"/>
      <c r="S70" s="1415"/>
      <c r="T70" s="1415"/>
      <c r="U70" s="1415"/>
      <c r="V70" s="1415"/>
      <c r="W70" s="1415"/>
      <c r="X70" s="1415" t="str">
        <f>IF(Feats!D34="","",Feats!M34)</f>
        <v>Skill increase</v>
      </c>
      <c r="Y70" s="1415"/>
      <c r="Z70" s="1415"/>
      <c r="AA70" s="1415"/>
      <c r="AB70" s="1416">
        <f>IF(Feats!D34="","",Feats!L34)</f>
        <v>5</v>
      </c>
      <c r="AC70" s="637"/>
    </row>
    <row r="71" spans="1:29" ht="19.5" hidden="1" customHeight="1" outlineLevel="1" x14ac:dyDescent="0.25">
      <c r="A71" s="656"/>
      <c r="B71" s="1414" t="str">
        <f>IF(Feats!D11="","",Feats!D11)</f>
        <v/>
      </c>
      <c r="C71" s="1415"/>
      <c r="D71" s="1415"/>
      <c r="E71" s="1415"/>
      <c r="F71" s="1415"/>
      <c r="G71" s="1415"/>
      <c r="H71" s="1415"/>
      <c r="I71" s="1415"/>
      <c r="J71" s="1415" t="str">
        <f>IF(Feats!D11="","",Feats!M11)</f>
        <v/>
      </c>
      <c r="K71" s="1415"/>
      <c r="L71" s="1415"/>
      <c r="M71" s="1415"/>
      <c r="N71" s="1416" t="str">
        <f>IF(Feats!D11="","",Feats!L11)</f>
        <v/>
      </c>
      <c r="O71" s="1413"/>
      <c r="P71" s="1414" t="str">
        <f>IF(Feats!D35="","",Feats!D35)</f>
        <v/>
      </c>
      <c r="Q71" s="1415"/>
      <c r="R71" s="1415"/>
      <c r="S71" s="1415"/>
      <c r="T71" s="1415"/>
      <c r="U71" s="1415"/>
      <c r="V71" s="1415"/>
      <c r="W71" s="1415"/>
      <c r="X71" s="1415" t="str">
        <f>IF(Feats!D35="","",Feats!M35)</f>
        <v/>
      </c>
      <c r="Y71" s="1415"/>
      <c r="Z71" s="1415"/>
      <c r="AA71" s="1415"/>
      <c r="AB71" s="1416" t="str">
        <f>IF(Feats!D35="","",Feats!L35)</f>
        <v/>
      </c>
      <c r="AC71" s="637"/>
    </row>
    <row r="72" spans="1:29" ht="19.5" customHeight="1" collapsed="1" x14ac:dyDescent="0.25">
      <c r="A72" s="656"/>
      <c r="B72" s="1414" t="str">
        <f>IF(Feats!D12="","",Feats!D12)</f>
        <v>Muse = True Strike</v>
      </c>
      <c r="C72" s="1415"/>
      <c r="D72" s="1415"/>
      <c r="E72" s="1415"/>
      <c r="F72" s="1415"/>
      <c r="G72" s="1415"/>
      <c r="H72" s="1415"/>
      <c r="I72" s="1415"/>
      <c r="J72" s="1415" t="str">
        <f>IF(Feats!D12="","",Feats!M12)</f>
        <v>Class ability</v>
      </c>
      <c r="K72" s="1415"/>
      <c r="L72" s="1415"/>
      <c r="M72" s="1415"/>
      <c r="N72" s="1416">
        <f>IF(Feats!D12="","",Feats!L12)</f>
        <v>1</v>
      </c>
      <c r="O72" s="1413"/>
      <c r="P72" s="1414" t="str">
        <f>IF(Feats!D36="","",Feats!D36)</f>
        <v/>
      </c>
      <c r="Q72" s="1415"/>
      <c r="R72" s="1415"/>
      <c r="S72" s="1415"/>
      <c r="T72" s="1415"/>
      <c r="U72" s="1415"/>
      <c r="V72" s="1415"/>
      <c r="W72" s="1415"/>
      <c r="X72" s="1415" t="str">
        <f>IF(Feats!D36="","",Feats!M36)</f>
        <v/>
      </c>
      <c r="Y72" s="1415"/>
      <c r="Z72" s="1415"/>
      <c r="AA72" s="1415"/>
      <c r="AB72" s="1416" t="str">
        <f>IF(Feats!D36="","",Feats!L36)</f>
        <v/>
      </c>
      <c r="AC72" s="637"/>
    </row>
    <row r="73" spans="1:29" ht="19.5" hidden="1" customHeight="1" outlineLevel="1" x14ac:dyDescent="0.25">
      <c r="A73" s="656"/>
      <c r="B73" s="1414" t="str">
        <f>IF(Feats!D13="","",Feats!D13)</f>
        <v/>
      </c>
      <c r="C73" s="1415"/>
      <c r="D73" s="1415"/>
      <c r="E73" s="1415"/>
      <c r="F73" s="1415"/>
      <c r="G73" s="1415"/>
      <c r="H73" s="1415"/>
      <c r="I73" s="1415"/>
      <c r="J73" s="1415" t="str">
        <f>IF(Feats!D13="","",Feats!M13)</f>
        <v/>
      </c>
      <c r="K73" s="1415"/>
      <c r="L73" s="1415"/>
      <c r="M73" s="1415"/>
      <c r="N73" s="1416" t="str">
        <f>IF(Feats!D13="","",Feats!L13)</f>
        <v/>
      </c>
      <c r="O73" s="1413"/>
      <c r="P73" s="1414" t="str">
        <f>IF(Feats!D37="","",Feats!D37)</f>
        <v/>
      </c>
      <c r="Q73" s="1415"/>
      <c r="R73" s="1415"/>
      <c r="S73" s="1415"/>
      <c r="T73" s="1415"/>
      <c r="U73" s="1415"/>
      <c r="V73" s="1415"/>
      <c r="W73" s="1415"/>
      <c r="X73" s="1415" t="str">
        <f>IF(Feats!D37="","",Feats!M37)</f>
        <v/>
      </c>
      <c r="Y73" s="1415"/>
      <c r="Z73" s="1415"/>
      <c r="AA73" s="1415"/>
      <c r="AB73" s="1416" t="str">
        <f>IF(Feats!D37="","",Feats!L37)</f>
        <v/>
      </c>
      <c r="AC73" s="637"/>
    </row>
    <row r="74" spans="1:29" ht="19.5" customHeight="1" collapsed="1" x14ac:dyDescent="0.25">
      <c r="A74" s="656"/>
      <c r="B74" s="1414" t="str">
        <f>IF(Feats!D14="","",Feats!D14)</f>
        <v>Occult spontaneous spellcasting</v>
      </c>
      <c r="C74" s="1415"/>
      <c r="D74" s="1415"/>
      <c r="E74" s="1415"/>
      <c r="F74" s="1415"/>
      <c r="G74" s="1415"/>
      <c r="H74" s="1415"/>
      <c r="I74" s="1415"/>
      <c r="J74" s="1415" t="str">
        <f>IF(Feats!D14="","",Feats!M14)</f>
        <v>Class ability</v>
      </c>
      <c r="K74" s="1415"/>
      <c r="L74" s="1415"/>
      <c r="M74" s="1415"/>
      <c r="N74" s="1416">
        <f>IF(Feats!D14="","",Feats!L14)</f>
        <v>1</v>
      </c>
      <c r="O74" s="1413"/>
      <c r="P74" s="1414" t="str">
        <f>IF(Feats!D38="","",Feats!D38)</f>
        <v/>
      </c>
      <c r="Q74" s="1415"/>
      <c r="R74" s="1415"/>
      <c r="S74" s="1415"/>
      <c r="T74" s="1415"/>
      <c r="U74" s="1415"/>
      <c r="V74" s="1415"/>
      <c r="W74" s="1415"/>
      <c r="X74" s="1415" t="str">
        <f>IF(Feats!D38="","",Feats!M38)</f>
        <v/>
      </c>
      <c r="Y74" s="1415"/>
      <c r="Z74" s="1415"/>
      <c r="AA74" s="1415"/>
      <c r="AB74" s="1416" t="str">
        <f>IF(Feats!D38="","",Feats!L38)</f>
        <v/>
      </c>
      <c r="AC74" s="637"/>
    </row>
    <row r="75" spans="1:29" ht="19.5" customHeight="1" x14ac:dyDescent="0.25">
      <c r="A75" s="656"/>
      <c r="B75" s="1414" t="str">
        <f>IF(Feats!D15="","",Feats!D15)</f>
        <v>Counter Performance</v>
      </c>
      <c r="C75" s="1415"/>
      <c r="D75" s="1415"/>
      <c r="E75" s="1415"/>
      <c r="F75" s="1415"/>
      <c r="G75" s="1415"/>
      <c r="H75" s="1415"/>
      <c r="I75" s="1415"/>
      <c r="J75" s="1415" t="str">
        <f>IF(Feats!D15="","",Feats!M15)</f>
        <v>Starting feat</v>
      </c>
      <c r="K75" s="1415"/>
      <c r="L75" s="1415"/>
      <c r="M75" s="1415"/>
      <c r="N75" s="1416">
        <f>IF(Feats!D15="","",Feats!L15)</f>
        <v>1</v>
      </c>
      <c r="O75" s="1413"/>
      <c r="P75" s="1414" t="str">
        <f>IF(Feats!D39="","",Feats!D39)</f>
        <v/>
      </c>
      <c r="Q75" s="1415"/>
      <c r="R75" s="1415"/>
      <c r="S75" s="1415"/>
      <c r="T75" s="1415"/>
      <c r="U75" s="1415"/>
      <c r="V75" s="1415"/>
      <c r="W75" s="1415"/>
      <c r="X75" s="1415" t="str">
        <f>IF(Feats!D39="","",Feats!M39)</f>
        <v/>
      </c>
      <c r="Y75" s="1415"/>
      <c r="Z75" s="1415"/>
      <c r="AA75" s="1415"/>
      <c r="AB75" s="1416" t="str">
        <f>IF(Feats!D39="","",Feats!L39)</f>
        <v/>
      </c>
      <c r="AC75" s="637"/>
    </row>
    <row r="76" spans="1:29" ht="19.5" customHeight="1" x14ac:dyDescent="0.25">
      <c r="A76" s="656"/>
      <c r="B76" s="1414" t="str">
        <f>IF(Feats!D16="","",Feats!D16)</f>
        <v>Muse = Bardic Lore</v>
      </c>
      <c r="C76" s="1415"/>
      <c r="D76" s="1415"/>
      <c r="E76" s="1415"/>
      <c r="F76" s="1415"/>
      <c r="G76" s="1415"/>
      <c r="H76" s="1415"/>
      <c r="I76" s="1415"/>
      <c r="J76" s="1415" t="str">
        <f>IF(Feats!D16="","",Feats!M16)</f>
        <v>Class feat</v>
      </c>
      <c r="K76" s="1415"/>
      <c r="L76" s="1415"/>
      <c r="M76" s="1415"/>
      <c r="N76" s="1416">
        <f>IF(Feats!D16="","",Feats!L16)</f>
        <v>1</v>
      </c>
      <c r="O76" s="1413"/>
      <c r="P76" s="1414" t="str">
        <f>IF(Feats!D40="","",Feats!D40)</f>
        <v/>
      </c>
      <c r="Q76" s="1415"/>
      <c r="R76" s="1415"/>
      <c r="S76" s="1415"/>
      <c r="T76" s="1415"/>
      <c r="U76" s="1415"/>
      <c r="V76" s="1415"/>
      <c r="W76" s="1415"/>
      <c r="X76" s="1415" t="str">
        <f>IF(Feats!D40="","",Feats!M40)</f>
        <v/>
      </c>
      <c r="Y76" s="1415"/>
      <c r="Z76" s="1415"/>
      <c r="AA76" s="1415"/>
      <c r="AB76" s="1416" t="str">
        <f>IF(Feats!D40="","",Feats!L40)</f>
        <v/>
      </c>
      <c r="AC76" s="637"/>
    </row>
    <row r="77" spans="1:29" ht="19.5" hidden="1" customHeight="1" outlineLevel="1" x14ac:dyDescent="0.25">
      <c r="A77" s="656"/>
      <c r="B77" s="1414" t="str">
        <f>IF(Feats!D17="","",Feats!D17)</f>
        <v/>
      </c>
      <c r="C77" s="1415"/>
      <c r="D77" s="1415"/>
      <c r="E77" s="1415"/>
      <c r="F77" s="1415"/>
      <c r="G77" s="1415"/>
      <c r="H77" s="1415"/>
      <c r="I77" s="1415"/>
      <c r="J77" s="1415" t="str">
        <f>IF(Feats!D17="","",Feats!M17)</f>
        <v/>
      </c>
      <c r="K77" s="1415"/>
      <c r="L77" s="1415"/>
      <c r="M77" s="1415"/>
      <c r="N77" s="1416" t="str">
        <f>IF(Feats!D17="","",Feats!L17)</f>
        <v/>
      </c>
      <c r="O77" s="1413"/>
      <c r="P77" s="1414" t="str">
        <f>IF(Feats!D41="","",Feats!D41)</f>
        <v/>
      </c>
      <c r="Q77" s="1415"/>
      <c r="R77" s="1415"/>
      <c r="S77" s="1415"/>
      <c r="T77" s="1415"/>
      <c r="U77" s="1415"/>
      <c r="V77" s="1415"/>
      <c r="W77" s="1415"/>
      <c r="X77" s="1415" t="str">
        <f>IF(Feats!D41="","",Feats!M41)</f>
        <v/>
      </c>
      <c r="Y77" s="1415"/>
      <c r="Z77" s="1415"/>
      <c r="AA77" s="1415"/>
      <c r="AB77" s="1416" t="str">
        <f>IF(Feats!D41="","",Feats!L41)</f>
        <v/>
      </c>
      <c r="AC77" s="637"/>
    </row>
    <row r="78" spans="1:29" ht="19.5" customHeight="1" collapsed="1" x14ac:dyDescent="0.25">
      <c r="A78" s="656"/>
      <c r="B78" s="1414" t="str">
        <f>IF(Feats!D18="","",Feats!D18)</f>
        <v>Quick Repair (T Crafting)</v>
      </c>
      <c r="C78" s="1415"/>
      <c r="D78" s="1415"/>
      <c r="E78" s="1415"/>
      <c r="F78" s="1415"/>
      <c r="G78" s="1415"/>
      <c r="H78" s="1415"/>
      <c r="I78" s="1415"/>
      <c r="J78" s="1415" t="str">
        <f>IF(Feats!D18="","",Feats!M18)</f>
        <v>Skill feat</v>
      </c>
      <c r="K78" s="1415"/>
      <c r="L78" s="1415"/>
      <c r="M78" s="1415"/>
      <c r="N78" s="1416">
        <f>IF(Feats!D18="","",Feats!L18)</f>
        <v>2</v>
      </c>
      <c r="O78" s="1413"/>
      <c r="P78" s="1414" t="str">
        <f>IF(Feats!D42="","",Feats!D42)</f>
        <v/>
      </c>
      <c r="Q78" s="1415"/>
      <c r="R78" s="1415"/>
      <c r="S78" s="1415"/>
      <c r="T78" s="1415"/>
      <c r="U78" s="1415"/>
      <c r="V78" s="1415"/>
      <c r="W78" s="1415"/>
      <c r="X78" s="1415" t="str">
        <f>IF(Feats!D42="","",Feats!M42)</f>
        <v/>
      </c>
      <c r="Y78" s="1415"/>
      <c r="Z78" s="1415"/>
      <c r="AA78" s="1415"/>
      <c r="AB78" s="1416" t="str">
        <f>IF(Feats!D42="","",Feats!L42)</f>
        <v/>
      </c>
      <c r="AC78" s="637"/>
    </row>
    <row r="79" spans="1:29" ht="19.5" customHeight="1" x14ac:dyDescent="0.25">
      <c r="A79" s="656"/>
      <c r="B79" s="1414" t="str">
        <f>IF(Feats!D19="","",Feats!D19)</f>
        <v>Loremaster's Etude</v>
      </c>
      <c r="C79" s="1415"/>
      <c r="D79" s="1415"/>
      <c r="E79" s="1415"/>
      <c r="F79" s="1415"/>
      <c r="G79" s="1415"/>
      <c r="H79" s="1415"/>
      <c r="I79" s="1415"/>
      <c r="J79" s="1415" t="str">
        <f>IF(Feats!D19="","",Feats!M19)</f>
        <v>Class feat</v>
      </c>
      <c r="K79" s="1415"/>
      <c r="L79" s="1415"/>
      <c r="M79" s="1415"/>
      <c r="N79" s="1416">
        <f>IF(Feats!D19="","",Feats!L19)</f>
        <v>2</v>
      </c>
      <c r="O79" s="1413"/>
      <c r="P79" s="1414" t="str">
        <f>IF(Feats!D43="","",Feats!D43)</f>
        <v/>
      </c>
      <c r="Q79" s="1415"/>
      <c r="R79" s="1415"/>
      <c r="S79" s="1415"/>
      <c r="T79" s="1415"/>
      <c r="U79" s="1415"/>
      <c r="V79" s="1415"/>
      <c r="W79" s="1415"/>
      <c r="X79" s="1415" t="str">
        <f>IF(Feats!D43="","",Feats!M43)</f>
        <v/>
      </c>
      <c r="Y79" s="1415"/>
      <c r="Z79" s="1415"/>
      <c r="AA79" s="1415"/>
      <c r="AB79" s="1416" t="str">
        <f>IF(Feats!D43="","",Feats!L43)</f>
        <v/>
      </c>
      <c r="AC79" s="637"/>
    </row>
    <row r="80" spans="1:29" ht="19.5" hidden="1" customHeight="1" outlineLevel="1" x14ac:dyDescent="0.25">
      <c r="A80" s="656"/>
      <c r="B80" s="1414" t="str">
        <f>IF(Feats!D20="","",Feats!D20)</f>
        <v/>
      </c>
      <c r="C80" s="1415"/>
      <c r="D80" s="1415"/>
      <c r="E80" s="1415"/>
      <c r="F80" s="1415"/>
      <c r="G80" s="1415"/>
      <c r="H80" s="1415"/>
      <c r="I80" s="1415"/>
      <c r="J80" s="1415" t="str">
        <f>IF(Feats!D20="","",Feats!M20)</f>
        <v/>
      </c>
      <c r="K80" s="1415"/>
      <c r="L80" s="1415"/>
      <c r="M80" s="1415"/>
      <c r="N80" s="1416" t="str">
        <f>IF(Feats!D20="","",Feats!L20)</f>
        <v/>
      </c>
      <c r="O80" s="1413"/>
      <c r="P80" s="1414" t="str">
        <f>IF(Feats!D44="","",Feats!D44)</f>
        <v/>
      </c>
      <c r="Q80" s="1415"/>
      <c r="R80" s="1415"/>
      <c r="S80" s="1415"/>
      <c r="T80" s="1415"/>
      <c r="U80" s="1415"/>
      <c r="V80" s="1415"/>
      <c r="W80" s="1415"/>
      <c r="X80" s="1415" t="str">
        <f>IF(Feats!D44="","",Feats!M44)</f>
        <v/>
      </c>
      <c r="Y80" s="1415"/>
      <c r="Z80" s="1415"/>
      <c r="AA80" s="1415"/>
      <c r="AB80" s="1416" t="str">
        <f>IF(Feats!D44="","",Feats!L44)</f>
        <v/>
      </c>
      <c r="AC80" s="637"/>
    </row>
    <row r="81" spans="1:29" ht="19.5" hidden="1" customHeight="1" outlineLevel="1" x14ac:dyDescent="0.25">
      <c r="A81" s="656"/>
      <c r="B81" s="1414" t="str">
        <f>IF(Feats!D21="","",Feats!D21)</f>
        <v/>
      </c>
      <c r="C81" s="1415"/>
      <c r="D81" s="1415"/>
      <c r="E81" s="1415"/>
      <c r="F81" s="1415"/>
      <c r="G81" s="1415"/>
      <c r="H81" s="1415"/>
      <c r="I81" s="1415"/>
      <c r="J81" s="1415" t="str">
        <f>IF(Feats!D21="","",Feats!M21)</f>
        <v/>
      </c>
      <c r="K81" s="1415"/>
      <c r="L81" s="1415"/>
      <c r="M81" s="1415"/>
      <c r="N81" s="1416" t="str">
        <f>IF(Feats!D21="","",Feats!L21)</f>
        <v/>
      </c>
      <c r="O81" s="1413"/>
      <c r="P81" s="1414" t="str">
        <f>IF(Feats!D45="","",Feats!D45)</f>
        <v/>
      </c>
      <c r="Q81" s="1415"/>
      <c r="R81" s="1415"/>
      <c r="S81" s="1415"/>
      <c r="T81" s="1415"/>
      <c r="U81" s="1415"/>
      <c r="V81" s="1415"/>
      <c r="W81" s="1415"/>
      <c r="X81" s="1415" t="str">
        <f>IF(Feats!D45="","",Feats!M45)</f>
        <v/>
      </c>
      <c r="Y81" s="1415"/>
      <c r="Z81" s="1415"/>
      <c r="AA81" s="1415"/>
      <c r="AB81" s="1416" t="str">
        <f>IF(Feats!D45="","",Feats!L45)</f>
        <v/>
      </c>
      <c r="AC81" s="637"/>
    </row>
    <row r="82" spans="1:29" ht="19.5" customHeight="1" collapsed="1" x14ac:dyDescent="0.25">
      <c r="A82" s="656"/>
      <c r="B82" s="1414" t="str">
        <f>IF(Feats!D22="","",Feats!D22)</f>
        <v>Lightning Reflexes (Expert REF)</v>
      </c>
      <c r="C82" s="1415"/>
      <c r="D82" s="1415"/>
      <c r="E82" s="1415"/>
      <c r="F82" s="1415"/>
      <c r="G82" s="1415"/>
      <c r="H82" s="1415"/>
      <c r="I82" s="1415"/>
      <c r="J82" s="1415" t="str">
        <f>IF(Feats!D22="","",Feats!M22)</f>
        <v>Class ability</v>
      </c>
      <c r="K82" s="1415"/>
      <c r="L82" s="1415"/>
      <c r="M82" s="1415"/>
      <c r="N82" s="1416">
        <f>IF(Feats!D22="","",Feats!L22)</f>
        <v>3</v>
      </c>
      <c r="O82" s="1413"/>
      <c r="P82" s="1414" t="str">
        <f>IF(Feats!D46="","",Feats!D46)</f>
        <v/>
      </c>
      <c r="Q82" s="1415"/>
      <c r="R82" s="1415"/>
      <c r="S82" s="1415"/>
      <c r="T82" s="1415"/>
      <c r="U82" s="1415"/>
      <c r="V82" s="1415"/>
      <c r="W82" s="1415"/>
      <c r="X82" s="1415" t="str">
        <f>IF(Feats!D46="","",Feats!M46)</f>
        <v/>
      </c>
      <c r="Y82" s="1415"/>
      <c r="Z82" s="1415"/>
      <c r="AA82" s="1415"/>
      <c r="AB82" s="1416" t="str">
        <f>IF(Feats!D46="","",Feats!L46)</f>
        <v/>
      </c>
      <c r="AC82" s="637"/>
    </row>
    <row r="83" spans="1:29" ht="19.5" customHeight="1" x14ac:dyDescent="0.25">
      <c r="A83" s="656"/>
      <c r="B83" s="1414" t="str">
        <f>IF(Feats!D23="","",Feats!D23)</f>
        <v>Signature Spells</v>
      </c>
      <c r="C83" s="1415"/>
      <c r="D83" s="1415"/>
      <c r="E83" s="1415"/>
      <c r="F83" s="1415"/>
      <c r="G83" s="1415"/>
      <c r="H83" s="1415"/>
      <c r="I83" s="1415"/>
      <c r="J83" s="1415" t="str">
        <f>IF(Feats!D23="","",Feats!M23)</f>
        <v>Class ability</v>
      </c>
      <c r="K83" s="1415"/>
      <c r="L83" s="1415"/>
      <c r="M83" s="1415"/>
      <c r="N83" s="1416">
        <f>IF(Feats!D23="","",Feats!L23)</f>
        <v>3</v>
      </c>
      <c r="O83" s="1413"/>
      <c r="P83" s="1414" t="str">
        <f>IF(Feats!D47="","",Feats!D47)</f>
        <v/>
      </c>
      <c r="Q83" s="1415"/>
      <c r="R83" s="1415"/>
      <c r="S83" s="1415"/>
      <c r="T83" s="1415"/>
      <c r="U83" s="1415"/>
      <c r="V83" s="1415"/>
      <c r="W83" s="1415"/>
      <c r="X83" s="1415" t="str">
        <f>IF(Feats!D47="","",Feats!M47)</f>
        <v/>
      </c>
      <c r="Y83" s="1415"/>
      <c r="Z83" s="1415"/>
      <c r="AA83" s="1415"/>
      <c r="AB83" s="1416" t="str">
        <f>IF(Feats!D47="","",Feats!L47)</f>
        <v/>
      </c>
      <c r="AC83" s="637"/>
    </row>
    <row r="84" spans="1:29" ht="19.5" customHeight="1" x14ac:dyDescent="0.25">
      <c r="A84" s="656"/>
      <c r="B84" s="1414" t="str">
        <f>IF(Feats!D24="","",Feats!D24)</f>
        <v>2nd level spells</v>
      </c>
      <c r="C84" s="1415"/>
      <c r="D84" s="1415"/>
      <c r="E84" s="1415"/>
      <c r="F84" s="1415"/>
      <c r="G84" s="1415"/>
      <c r="H84" s="1415"/>
      <c r="I84" s="1415"/>
      <c r="J84" s="1415" t="str">
        <f>IF(Feats!D24="","",Feats!M24)</f>
        <v>Class ability</v>
      </c>
      <c r="K84" s="1415"/>
      <c r="L84" s="1415"/>
      <c r="M84" s="1415"/>
      <c r="N84" s="1416">
        <f>IF(Feats!D24="","",Feats!L24)</f>
        <v>3</v>
      </c>
      <c r="O84" s="1413"/>
      <c r="P84" s="1414" t="str">
        <f>IF(Feats!D48="","",Feats!D48)</f>
        <v/>
      </c>
      <c r="Q84" s="1415"/>
      <c r="R84" s="1415"/>
      <c r="S84" s="1415"/>
      <c r="T84" s="1415"/>
      <c r="U84" s="1415"/>
      <c r="V84" s="1415"/>
      <c r="W84" s="1415"/>
      <c r="X84" s="1415" t="str">
        <f>IF(Feats!D48="","",Feats!M48)</f>
        <v/>
      </c>
      <c r="Y84" s="1415"/>
      <c r="Z84" s="1415"/>
      <c r="AA84" s="1415"/>
      <c r="AB84" s="1416" t="str">
        <f>IF(Feats!D48="","",Feats!L48)</f>
        <v/>
      </c>
      <c r="AC84" s="637"/>
    </row>
    <row r="85" spans="1:29" ht="19.5" customHeight="1" x14ac:dyDescent="0.25">
      <c r="A85" s="656"/>
      <c r="B85" s="1414" t="str">
        <f>IF(Feats!D25="","",Feats!D25)</f>
        <v>Fleet</v>
      </c>
      <c r="C85" s="1415"/>
      <c r="D85" s="1415"/>
      <c r="E85" s="1415"/>
      <c r="F85" s="1415"/>
      <c r="G85" s="1415"/>
      <c r="H85" s="1415"/>
      <c r="I85" s="1415"/>
      <c r="J85" s="1415" t="str">
        <f>IF(Feats!D25="","",Feats!M25)</f>
        <v>General feat</v>
      </c>
      <c r="K85" s="1415"/>
      <c r="L85" s="1415"/>
      <c r="M85" s="1415"/>
      <c r="N85" s="1416">
        <f>IF(Feats!D25="","",Feats!L25)</f>
        <v>3</v>
      </c>
      <c r="O85" s="1413"/>
      <c r="P85" s="1414" t="str">
        <f>IF(Feats!D49="","",Feats!D49)</f>
        <v/>
      </c>
      <c r="Q85" s="1415"/>
      <c r="R85" s="1415"/>
      <c r="S85" s="1415"/>
      <c r="T85" s="1415"/>
      <c r="U85" s="1415"/>
      <c r="V85" s="1415"/>
      <c r="W85" s="1415"/>
      <c r="X85" s="1415" t="str">
        <f>IF(Feats!D49="","",Feats!M49)</f>
        <v/>
      </c>
      <c r="Y85" s="1415"/>
      <c r="Z85" s="1415"/>
      <c r="AA85" s="1415"/>
      <c r="AB85" s="1416" t="str">
        <f>IF(Feats!D49="","",Feats!L49)</f>
        <v/>
      </c>
      <c r="AC85" s="637"/>
    </row>
    <row r="86" spans="1:29" ht="19.5" customHeight="1" x14ac:dyDescent="0.25">
      <c r="A86" s="656"/>
      <c r="B86" s="1414" t="str">
        <f>IF(Feats!D26="","",Feats!D26)</f>
        <v>Expert in Crafting</v>
      </c>
      <c r="C86" s="1415"/>
      <c r="D86" s="1415"/>
      <c r="E86" s="1415"/>
      <c r="F86" s="1415"/>
      <c r="G86" s="1415"/>
      <c r="H86" s="1415"/>
      <c r="I86" s="1415"/>
      <c r="J86" s="1415" t="str">
        <f>IF(Feats!D26="","",Feats!M26)</f>
        <v>Skill increase</v>
      </c>
      <c r="K86" s="1415"/>
      <c r="L86" s="1415"/>
      <c r="M86" s="1415"/>
      <c r="N86" s="1416">
        <f>IF(Feats!D26="","",Feats!L26)</f>
        <v>3</v>
      </c>
      <c r="O86" s="1413"/>
      <c r="P86" s="1414" t="str">
        <f>IF(Feats!D50="","",Feats!D50)</f>
        <v/>
      </c>
      <c r="Q86" s="1415"/>
      <c r="R86" s="1415"/>
      <c r="S86" s="1415"/>
      <c r="T86" s="1415"/>
      <c r="U86" s="1415"/>
      <c r="V86" s="1415"/>
      <c r="W86" s="1415"/>
      <c r="X86" s="1415" t="str">
        <f>IF(Feats!D50="","",Feats!M50)</f>
        <v/>
      </c>
      <c r="Y86" s="1415"/>
      <c r="Z86" s="1415"/>
      <c r="AA86" s="1415"/>
      <c r="AB86" s="1416" t="str">
        <f>IF(Feats!D50="","",Feats!L50)</f>
        <v/>
      </c>
      <c r="AC86" s="637"/>
    </row>
    <row r="87" spans="1:29" ht="19.5" customHeight="1" x14ac:dyDescent="0.25">
      <c r="A87" s="656"/>
      <c r="B87" s="1414" t="str">
        <f>IF(Feats!D27="","",Feats!D27)</f>
        <v/>
      </c>
      <c r="C87" s="1415"/>
      <c r="D87" s="1415"/>
      <c r="E87" s="1415"/>
      <c r="F87" s="1415"/>
      <c r="G87" s="1415"/>
      <c r="H87" s="1415"/>
      <c r="I87" s="1415"/>
      <c r="J87" s="1415" t="str">
        <f>IF(Feats!D27="","",Feats!M27)</f>
        <v/>
      </c>
      <c r="K87" s="1415"/>
      <c r="L87" s="1415"/>
      <c r="M87" s="1415"/>
      <c r="N87" s="1416" t="str">
        <f>IF(Feats!D27="","",Feats!L27)</f>
        <v/>
      </c>
      <c r="O87" s="1413"/>
      <c r="P87" s="1414"/>
      <c r="Q87" s="1415"/>
      <c r="R87" s="1415"/>
      <c r="S87" s="1415"/>
      <c r="T87" s="1415"/>
      <c r="U87" s="1415"/>
      <c r="V87" s="1415"/>
      <c r="W87" s="1415"/>
      <c r="X87" s="1415"/>
      <c r="Y87" s="1415"/>
      <c r="Z87" s="1415"/>
      <c r="AA87" s="1415"/>
      <c r="AB87" s="1417"/>
      <c r="AC87" s="637"/>
    </row>
    <row r="88" spans="1:29" ht="19.5" customHeight="1" x14ac:dyDescent="0.25">
      <c r="A88" s="656"/>
      <c r="B88" s="1418" t="str">
        <f>IF(Feats!D28="","",Feats!D28)</f>
        <v>Courtly Graces (T Society)</v>
      </c>
      <c r="C88" s="1419"/>
      <c r="D88" s="1419"/>
      <c r="E88" s="1419"/>
      <c r="F88" s="1419"/>
      <c r="G88" s="1419"/>
      <c r="H88" s="1419"/>
      <c r="I88" s="1420"/>
      <c r="J88" s="1419" t="str">
        <f>IF(Feats!D28="","",Feats!M28)</f>
        <v>Skill feat</v>
      </c>
      <c r="K88" s="1420"/>
      <c r="L88" s="1419"/>
      <c r="M88" s="1419"/>
      <c r="N88" s="1421">
        <f>IF(Feats!D28="","",Feats!L28)</f>
        <v>4</v>
      </c>
      <c r="O88" s="1413"/>
      <c r="P88" s="1418"/>
      <c r="Q88" s="1419"/>
      <c r="R88" s="1419"/>
      <c r="S88" s="1419"/>
      <c r="T88" s="1419"/>
      <c r="U88" s="1419"/>
      <c r="V88" s="1419"/>
      <c r="W88" s="1419"/>
      <c r="X88" s="1419"/>
      <c r="Y88" s="1419"/>
      <c r="Z88" s="1419"/>
      <c r="AA88" s="1419"/>
      <c r="AB88" s="1422"/>
      <c r="AC88" s="637"/>
    </row>
    <row r="89" spans="1:29"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ht="19.5" customHeight="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customHeight="1" x14ac:dyDescent="0.3">
      <c r="A91" s="648"/>
      <c r="B91" s="789" t="s">
        <v>551</v>
      </c>
      <c r="C91" s="641"/>
      <c r="D91" s="641"/>
      <c r="E91" s="641"/>
      <c r="F91" s="641"/>
      <c r="G91" s="641"/>
      <c r="H91" s="641"/>
      <c r="I91" s="641"/>
      <c r="J91" s="641"/>
      <c r="K91" s="789" t="s">
        <v>165</v>
      </c>
      <c r="L91" s="641"/>
      <c r="M91" s="789" t="s">
        <v>553</v>
      </c>
      <c r="N91" s="641"/>
      <c r="O91" s="641"/>
      <c r="P91" s="641"/>
      <c r="Q91" s="641"/>
      <c r="R91" s="641"/>
      <c r="S91" s="641"/>
      <c r="T91" s="641"/>
      <c r="U91" s="641"/>
      <c r="V91" s="641"/>
      <c r="W91" s="641"/>
      <c r="X91" s="641"/>
      <c r="Y91" s="1265" t="s">
        <v>165</v>
      </c>
      <c r="Z91" s="641"/>
      <c r="AA91" s="641"/>
      <c r="AB91" s="641"/>
      <c r="AC91" s="642"/>
    </row>
    <row r="92" spans="1:29" ht="19.5" customHeight="1" x14ac:dyDescent="0.3">
      <c r="A92" s="643"/>
      <c r="B92" s="790"/>
      <c r="C92" s="790"/>
      <c r="D92" s="489" t="s">
        <v>324</v>
      </c>
      <c r="E92" s="790"/>
      <c r="F92" s="790"/>
      <c r="G92" s="790"/>
      <c r="H92" s="790"/>
      <c r="I92" s="489" t="s">
        <v>79</v>
      </c>
      <c r="J92" s="790"/>
      <c r="K92" s="789" t="s">
        <v>490</v>
      </c>
      <c r="L92" s="790"/>
      <c r="M92" s="669" t="s">
        <v>554</v>
      </c>
      <c r="N92" s="701">
        <f>IF(Spells!D17="","",Spells!D17)</f>
        <v>3</v>
      </c>
      <c r="O92" s="702">
        <f>IF(Spells!D18="","",Spells!D18)</f>
        <v>3</v>
      </c>
      <c r="P92" s="702">
        <f>IF(Spells!D19="","",Spells!D19)</f>
        <v>2</v>
      </c>
      <c r="Q92" s="702" t="str">
        <f>IF(Spells!D20="","",Spells!D20)</f>
        <v/>
      </c>
      <c r="R92" s="702" t="str">
        <f>IF(Spells!D21="","",Spells!D21)</f>
        <v/>
      </c>
      <c r="S92" s="702" t="str">
        <f>IF(Spells!D22="","",Spells!D22)</f>
        <v/>
      </c>
      <c r="T92" s="702" t="str">
        <f>IF(Spells!D23="","",Spells!D23)</f>
        <v/>
      </c>
      <c r="U92" s="702" t="str">
        <f>IF(Spells!D24="","",Spells!D24)</f>
        <v/>
      </c>
      <c r="V92" s="702" t="str">
        <f>IF(Spells!D25="","",Spells!D25)</f>
        <v/>
      </c>
      <c r="W92" s="1223" t="str">
        <f>IF(Spells!D26="","",Spells!D26)</f>
        <v/>
      </c>
      <c r="X92" s="790"/>
      <c r="Y92" s="1265" t="s">
        <v>983</v>
      </c>
      <c r="Z92" s="790"/>
      <c r="AA92" s="790"/>
      <c r="AB92" s="790"/>
      <c r="AC92" s="637"/>
    </row>
    <row r="93" spans="1:29" ht="19.5" customHeight="1" x14ac:dyDescent="0.25">
      <c r="A93" s="643"/>
      <c r="B93" s="768">
        <f>Skills!D38</f>
        <v>11</v>
      </c>
      <c r="C93" s="704" t="s">
        <v>502</v>
      </c>
      <c r="D93" s="705">
        <f>Skills!D207</f>
        <v>7</v>
      </c>
      <c r="E93" s="706" t="str">
        <f>Skills!D165</f>
        <v>Trained</v>
      </c>
      <c r="F93" s="1466"/>
      <c r="G93" s="707" t="s">
        <v>499</v>
      </c>
      <c r="H93" s="705">
        <f>Skills!D70</f>
        <v>4</v>
      </c>
      <c r="I93" s="708" t="str">
        <f>Skills!D71</f>
        <v>CHA</v>
      </c>
      <c r="J93" s="790"/>
      <c r="K93" s="771">
        <f>Spells!D4</f>
        <v>3</v>
      </c>
      <c r="L93" s="790"/>
      <c r="M93" s="669" t="s">
        <v>490</v>
      </c>
      <c r="N93" s="492">
        <v>1</v>
      </c>
      <c r="O93" s="457">
        <v>2</v>
      </c>
      <c r="P93" s="457">
        <v>3</v>
      </c>
      <c r="Q93" s="457">
        <v>4</v>
      </c>
      <c r="R93" s="457">
        <v>5</v>
      </c>
      <c r="S93" s="457">
        <v>6</v>
      </c>
      <c r="T93" s="457">
        <v>7</v>
      </c>
      <c r="U93" s="457">
        <v>8</v>
      </c>
      <c r="V93" s="448">
        <v>9</v>
      </c>
      <c r="W93" s="1224">
        <v>10</v>
      </c>
      <c r="X93" s="790"/>
      <c r="Y93" s="771">
        <f>Spells!D16</f>
        <v>5</v>
      </c>
      <c r="Z93" s="790"/>
      <c r="AA93" s="790"/>
      <c r="AB93" s="790"/>
      <c r="AC93" s="637"/>
    </row>
    <row r="94" spans="1:29" ht="19.5" customHeight="1" x14ac:dyDescent="0.3">
      <c r="A94" s="596"/>
      <c r="B94" s="769">
        <f>Skills!D39</f>
        <v>21</v>
      </c>
      <c r="C94" s="709" t="s">
        <v>552</v>
      </c>
      <c r="D94" s="710">
        <f>Skills!D208</f>
        <v>7</v>
      </c>
      <c r="E94" s="711" t="str">
        <f>Skills!D167</f>
        <v>Trained</v>
      </c>
      <c r="F94" s="1420"/>
      <c r="G94" s="712" t="s">
        <v>499</v>
      </c>
      <c r="H94" s="710">
        <f>Skills!D70</f>
        <v>4</v>
      </c>
      <c r="I94" s="713" t="str">
        <f>Skills!D71</f>
        <v>CHA</v>
      </c>
      <c r="J94" s="790"/>
      <c r="K94" s="130"/>
      <c r="L94" s="493"/>
      <c r="M94" s="670" t="s">
        <v>459</v>
      </c>
      <c r="N94" s="698" t="str">
        <f>IF(Spells!D6="","",Spells!D6)</f>
        <v>3+M</v>
      </c>
      <c r="O94" s="699" t="str">
        <f>IF(Spells!D7="","",Spells!D7)</f>
        <v>3+S</v>
      </c>
      <c r="P94" s="699" t="str">
        <f>IF(Spells!D8="","",Spells!D8)</f>
        <v>2+2S</v>
      </c>
      <c r="Q94" s="699" t="str">
        <f>IF(Spells!D9="","",Spells!D9)</f>
        <v/>
      </c>
      <c r="R94" s="699"/>
      <c r="S94" s="699"/>
      <c r="T94" s="699"/>
      <c r="U94" s="699"/>
      <c r="V94" s="700"/>
      <c r="W94" s="1225"/>
      <c r="X94" s="671"/>
      <c r="Y94" s="130"/>
      <c r="Z94" s="790"/>
      <c r="AA94" s="790"/>
      <c r="AB94" s="790"/>
      <c r="AC94" s="637"/>
    </row>
    <row r="95" spans="1:29" s="450" customFormat="1" ht="19.5" customHeight="1" x14ac:dyDescent="0.3">
      <c r="A95" s="672"/>
      <c r="B95" s="673" t="s">
        <v>555</v>
      </c>
      <c r="C95" s="674"/>
      <c r="D95" s="674"/>
      <c r="E95" s="674"/>
      <c r="F95" s="674"/>
      <c r="G95" s="674"/>
      <c r="H95" s="674"/>
      <c r="I95" s="674"/>
      <c r="J95" s="674"/>
      <c r="M95" s="670" t="s">
        <v>936</v>
      </c>
      <c r="N95" s="1218">
        <f>IF(Spells!D27="","",Spells!D27)</f>
        <v>3</v>
      </c>
      <c r="O95" s="1219">
        <f>IF(Spells!D28="","",Spells!D28)</f>
        <v>3</v>
      </c>
      <c r="P95" s="1219">
        <f>IF(Spells!D29="","",Spells!D29)</f>
        <v>2</v>
      </c>
      <c r="Q95" s="1219" t="str">
        <f>IF(Spells!D30="","",Spells!D30)</f>
        <v/>
      </c>
      <c r="R95" s="1219" t="str">
        <f>IF(Spells!D31="","",Spells!D31)</f>
        <v/>
      </c>
      <c r="S95" s="1219" t="str">
        <f>IF(Spells!D32="","",Spells!D32)</f>
        <v/>
      </c>
      <c r="T95" s="1219" t="str">
        <f>IF(Spells!D33="","",Spells!D33)</f>
        <v/>
      </c>
      <c r="U95" s="1219" t="str">
        <f>IF(Spells!D34="","",Spells!D34)</f>
        <v/>
      </c>
      <c r="V95" s="1219" t="str">
        <f>IF(Spells!D35="","",Spells!D35)</f>
        <v/>
      </c>
      <c r="W95" s="1221" t="str">
        <f>IF(Spells!D36="","",Spells!D36)</f>
        <v/>
      </c>
      <c r="AB95" s="641"/>
      <c r="AC95" s="642"/>
    </row>
    <row r="96" spans="1:29" ht="19.5" customHeight="1" x14ac:dyDescent="0.3">
      <c r="A96" s="596"/>
      <c r="B96" s="838" t="str">
        <f>IF(Feats!D14="","",Feats!D14)</f>
        <v>Occult spontaneous spellcasting</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ht="19.5" customHeight="1" x14ac:dyDescent="0.3">
      <c r="A97" s="596"/>
      <c r="B97" s="676" t="s">
        <v>557</v>
      </c>
      <c r="C97" s="130"/>
      <c r="D97" s="130"/>
      <c r="E97" s="674"/>
      <c r="F97" s="491">
        <f>IF(Spells!D5="","",Spells!D5)</f>
        <v>5</v>
      </c>
      <c r="G97" s="130"/>
      <c r="H97" s="674"/>
      <c r="I97" s="674"/>
      <c r="J97" s="130"/>
      <c r="K97" s="1423" t="str">
        <f>IF(Spells!D98="","","["&amp;Spells!D98&amp;"] "&amp;Spells!D99&amp;" ["&amp;Spells!D101&amp;"]")</f>
        <v>[Level 1] Magic Weapon [2 (SV)]</v>
      </c>
      <c r="L97" s="1424"/>
      <c r="M97" s="1425"/>
      <c r="N97" s="1425"/>
      <c r="O97" s="1425"/>
      <c r="P97" s="1425"/>
      <c r="Q97" s="1425"/>
      <c r="R97" s="1426"/>
      <c r="S97" s="1404"/>
      <c r="T97" s="1427"/>
      <c r="U97" s="1424"/>
      <c r="V97" s="747"/>
      <c r="W97" s="747"/>
      <c r="X97" s="747"/>
      <c r="Y97" s="747"/>
      <c r="Z97" s="747"/>
      <c r="AA97" s="1350"/>
      <c r="AB97" s="838"/>
      <c r="AC97" s="637"/>
    </row>
    <row r="98" spans="1:29" ht="19.5" customHeight="1" x14ac:dyDescent="0.25">
      <c r="A98" s="596"/>
      <c r="B98" s="676" t="s">
        <v>165</v>
      </c>
      <c r="C98" s="130"/>
      <c r="D98" s="130"/>
      <c r="E98" s="130"/>
      <c r="F98" s="130"/>
      <c r="G98" s="130"/>
      <c r="H98" s="130"/>
      <c r="I98" s="130"/>
      <c r="J98" s="130"/>
      <c r="K98" s="1428" t="str">
        <f>IF(Spells!D100="","",Spells!D100)</f>
        <v>Touch, 1 min, +1 strike, 2 damage dice</v>
      </c>
      <c r="L98" s="749"/>
      <c r="M98" s="1429"/>
      <c r="N98" s="1429"/>
      <c r="O98" s="1429"/>
      <c r="P98" s="1429"/>
      <c r="Q98" s="1430"/>
      <c r="R98" s="1431"/>
      <c r="S98" s="1432"/>
      <c r="T98" s="1433"/>
      <c r="U98" s="749"/>
      <c r="V98" s="1434"/>
      <c r="W98" s="1434"/>
      <c r="X98" s="1434"/>
      <c r="Y98" s="1434"/>
      <c r="Z98" s="1434"/>
      <c r="AA98" s="1435"/>
      <c r="AB98" s="838"/>
      <c r="AC98" s="637"/>
    </row>
    <row r="99" spans="1:29" ht="19.5" customHeight="1" x14ac:dyDescent="0.25">
      <c r="A99" s="596"/>
      <c r="B99" s="1449" t="str">
        <f>IF(Spells!D54="","","["&amp;Spells!D54&amp;"] "&amp;Spells!D55&amp;" ["&amp;Spells!D57&amp;"]")</f>
        <v>[Cantrip] Daze [2 (SV)]</v>
      </c>
      <c r="C99" s="1330"/>
      <c r="D99" s="1330"/>
      <c r="E99" s="1450"/>
      <c r="F99" s="1450"/>
      <c r="G99" s="1451"/>
      <c r="H99" s="1452"/>
      <c r="I99" s="1453"/>
      <c r="J99" s="130"/>
      <c r="K99" s="1436" t="str">
        <f>IF(Spells!D102="","","["&amp;Spells!D102&amp;"] "&amp;Spells!D103&amp;" ["&amp;Spells!D105&amp;"]")</f>
        <v>[Level 1] Mending [10m (SV)]</v>
      </c>
      <c r="L99" s="749"/>
      <c r="M99" s="1429"/>
      <c r="N99" s="1429"/>
      <c r="O99" s="1429"/>
      <c r="P99" s="1429"/>
      <c r="Q99" s="1430"/>
      <c r="R99" s="1431"/>
      <c r="S99" s="1432"/>
      <c r="T99" s="1433"/>
      <c r="U99" s="749"/>
      <c r="V99" s="1434"/>
      <c r="W99" s="1434"/>
      <c r="X99" s="1434"/>
      <c r="Y99" s="1434"/>
      <c r="Z99" s="1434"/>
      <c r="AA99" s="1435"/>
      <c r="AB99" s="838"/>
      <c r="AC99" s="637"/>
    </row>
    <row r="100" spans="1:29" ht="19.5" customHeight="1" x14ac:dyDescent="0.25">
      <c r="A100" s="596"/>
      <c r="B100" s="1454" t="str">
        <f>IF(Spells!D56="","",Spells!D56)</f>
        <v>1 creat, 60', 1 rd, 1d6+4 mental and WIL or stunned 1</v>
      </c>
      <c r="C100" s="1334"/>
      <c r="D100" s="1334"/>
      <c r="E100" s="1455"/>
      <c r="F100" s="1455"/>
      <c r="G100" s="1455"/>
      <c r="H100" s="1456"/>
      <c r="I100" s="1457"/>
      <c r="J100" s="130"/>
      <c r="K100" s="1428" t="str">
        <f>IF(Spells!D104="","",Spells!D104)</f>
        <v>+ 5HP/spell level</v>
      </c>
      <c r="L100" s="749"/>
      <c r="M100" s="1429"/>
      <c r="N100" s="1429"/>
      <c r="O100" s="1429"/>
      <c r="P100" s="1429"/>
      <c r="Q100" s="1430"/>
      <c r="R100" s="1431"/>
      <c r="S100" s="1432"/>
      <c r="T100" s="1433"/>
      <c r="U100" s="749"/>
      <c r="V100" s="1434"/>
      <c r="W100" s="1434"/>
      <c r="X100" s="1434"/>
      <c r="Y100" s="1434"/>
      <c r="Z100" s="1434"/>
      <c r="AA100" s="1435"/>
      <c r="AB100" s="838"/>
      <c r="AC100" s="637"/>
    </row>
    <row r="101" spans="1:29" ht="19.5" customHeight="1" x14ac:dyDescent="0.25">
      <c r="A101" s="596"/>
      <c r="B101" s="1458" t="str">
        <f>IF(Spells!D58="","","["&amp;Spells!D58&amp;"] "&amp;Spells!D59&amp;" ["&amp;Spells!D61&amp;"]")</f>
        <v>[Cantrip] Guidance [1 (V)]</v>
      </c>
      <c r="C101" s="1335"/>
      <c r="D101" s="1334"/>
      <c r="E101" s="1455"/>
      <c r="F101" s="1456"/>
      <c r="G101" s="1455"/>
      <c r="H101" s="1459"/>
      <c r="I101" s="1457"/>
      <c r="J101" s="130"/>
      <c r="K101" s="1436" t="str">
        <f>IF(Spells!D106="","","["&amp;Spells!D106&amp;"] "&amp;Spells!D107&amp;" ["&amp;Spells!D109&amp;"]")</f>
        <v>[Signature Level 1] Soothe [2 (SV)]</v>
      </c>
      <c r="L101" s="749"/>
      <c r="M101" s="1429"/>
      <c r="N101" s="1429"/>
      <c r="O101" s="1429"/>
      <c r="P101" s="1429"/>
      <c r="Q101" s="1430"/>
      <c r="R101" s="1431"/>
      <c r="S101" s="1432"/>
      <c r="T101" s="1433"/>
      <c r="U101" s="749"/>
      <c r="V101" s="1434"/>
      <c r="W101" s="1434"/>
      <c r="X101" s="1434"/>
      <c r="Y101" s="1434"/>
      <c r="Z101" s="1434"/>
      <c r="AA101" s="1435"/>
      <c r="AB101" s="838"/>
      <c r="AC101" s="637"/>
    </row>
    <row r="102" spans="1:29" ht="19.5" customHeight="1" x14ac:dyDescent="0.25">
      <c r="A102" s="596"/>
      <c r="B102" s="1454" t="str">
        <f>IF(Spells!D60="","",Spells!D60)</f>
        <v>1 creat, 30', until next turn, +1 [att/PER/save or skill]</v>
      </c>
      <c r="C102" s="1460"/>
      <c r="D102" s="1334"/>
      <c r="E102" s="1455"/>
      <c r="F102" s="1456"/>
      <c r="G102" s="1455"/>
      <c r="H102" s="1456"/>
      <c r="I102" s="1457"/>
      <c r="J102" s="130"/>
      <c r="K102" s="1428" t="str">
        <f>IF(Spells!D108="","",Spells!D108)</f>
        <v>1 creat, 30', d10+4HP, 1 min, +2 save mental</v>
      </c>
      <c r="L102" s="749"/>
      <c r="M102" s="1429"/>
      <c r="N102" s="1429"/>
      <c r="O102" s="1429"/>
      <c r="P102" s="1429"/>
      <c r="Q102" s="1430"/>
      <c r="R102" s="1431"/>
      <c r="S102" s="1432"/>
      <c r="T102" s="1433"/>
      <c r="U102" s="749"/>
      <c r="V102" s="1434"/>
      <c r="W102" s="1434"/>
      <c r="X102" s="1434"/>
      <c r="Y102" s="1434"/>
      <c r="Z102" s="1434"/>
      <c r="AA102" s="1435"/>
      <c r="AB102" s="838"/>
      <c r="AC102" s="637"/>
    </row>
    <row r="103" spans="1:29" ht="19.5" customHeight="1" x14ac:dyDescent="0.25">
      <c r="A103" s="596"/>
      <c r="B103" s="1458" t="str">
        <f>IF(Spells!D62="","","["&amp;Spells!D62&amp;"] "&amp;Spells!D63&amp;" ["&amp;Spells!D65&amp;"]")</f>
        <v>[Composition Cantrip] Inspire Courage [1 (V)]</v>
      </c>
      <c r="C103" s="1335"/>
      <c r="D103" s="1334"/>
      <c r="E103" s="1455"/>
      <c r="F103" s="1456"/>
      <c r="G103" s="1455"/>
      <c r="H103" s="1459"/>
      <c r="I103" s="1457"/>
      <c r="J103" s="130"/>
      <c r="K103" s="1436" t="str">
        <f>IF(Spells!D110="","","["&amp;Spells!D110&amp;"] "&amp;Spells!D111&amp;" ["&amp;Spells!D113&amp;"]")</f>
        <v>[Muse Level 1] True Strike [1 (V)]</v>
      </c>
      <c r="L103" s="749"/>
      <c r="M103" s="1429"/>
      <c r="N103" s="1429"/>
      <c r="O103" s="1429"/>
      <c r="P103" s="1429"/>
      <c r="Q103" s="1430"/>
      <c r="R103" s="1431"/>
      <c r="S103" s="1432"/>
      <c r="T103" s="1433"/>
      <c r="U103" s="749"/>
      <c r="V103" s="1434"/>
      <c r="W103" s="1434"/>
      <c r="X103" s="1434"/>
      <c r="Y103" s="1434"/>
      <c r="Z103" s="1434"/>
      <c r="AA103" s="1435"/>
      <c r="AB103" s="838"/>
      <c r="AC103" s="637"/>
    </row>
    <row r="104" spans="1:29" ht="19.5" customHeight="1" x14ac:dyDescent="0.25">
      <c r="A104" s="596"/>
      <c r="B104" s="1454" t="str">
        <f>IF(Spells!D64="","",Spells!D64)</f>
        <v>60' éman, 1 rd; you+ allies, +1 att/dmg/saves vs fear</v>
      </c>
      <c r="C104" s="1460"/>
      <c r="D104" s="1334"/>
      <c r="E104" s="1455"/>
      <c r="F104" s="1456"/>
      <c r="G104" s="1455"/>
      <c r="H104" s="1456"/>
      <c r="I104" s="1457"/>
      <c r="J104" s="130"/>
      <c r="K104" s="1428" t="str">
        <f>IF(Spells!D112="","",Spells!D112)</f>
        <v>You, until next turn, best on 2 rolls</v>
      </c>
      <c r="L104" s="749"/>
      <c r="M104" s="1429"/>
      <c r="N104" s="1429"/>
      <c r="O104" s="1429"/>
      <c r="P104" s="1430"/>
      <c r="Q104" s="1430"/>
      <c r="R104" s="1431"/>
      <c r="S104" s="1432"/>
      <c r="T104" s="1433"/>
      <c r="U104" s="749"/>
      <c r="V104" s="1434"/>
      <c r="W104" s="1434"/>
      <c r="X104" s="1434"/>
      <c r="Y104" s="1434"/>
      <c r="Z104" s="1434"/>
      <c r="AA104" s="1435"/>
      <c r="AB104" s="838"/>
      <c r="AC104" s="637"/>
    </row>
    <row r="105" spans="1:29" ht="19.5" customHeight="1" x14ac:dyDescent="0.25">
      <c r="A105" s="596"/>
      <c r="B105" s="1458" t="str">
        <f>IF(Spells!D66="","","["&amp;Spells!D66&amp;"] "&amp;Spells!D67&amp;" ["&amp;Spells!D69&amp;"]")</f>
        <v>[Cantrip] Read Aura [1m (SV)]</v>
      </c>
      <c r="C105" s="1335"/>
      <c r="D105" s="1334"/>
      <c r="E105" s="1455"/>
      <c r="F105" s="1456"/>
      <c r="G105" s="1455"/>
      <c r="H105" s="1459"/>
      <c r="I105" s="1457"/>
      <c r="J105" s="130"/>
      <c r="K105" s="1436" t="str">
        <f>IF(Spells!D114="","","["&amp;Spells!D114&amp;"] "&amp;Spells!D115&amp;" ["&amp;Spells!D117&amp;"]")</f>
        <v>[Level 2] Blood Vendetta  [R (V)]</v>
      </c>
      <c r="L105" s="749"/>
      <c r="M105" s="1429"/>
      <c r="N105" s="1429"/>
      <c r="O105" s="1429"/>
      <c r="P105" s="1430"/>
      <c r="Q105" s="1430"/>
      <c r="R105" s="1431"/>
      <c r="S105" s="1432"/>
      <c r="T105" s="1433"/>
      <c r="U105" s="749"/>
      <c r="V105" s="1434"/>
      <c r="W105" s="1434"/>
      <c r="X105" s="1434"/>
      <c r="Y105" s="1434"/>
      <c r="Z105" s="1434"/>
      <c r="AA105" s="1435"/>
      <c r="AB105" s="838"/>
      <c r="AC105" s="637"/>
    </row>
    <row r="106" spans="1:29" ht="19.5" customHeight="1" x14ac:dyDescent="0.25">
      <c r="A106" s="596"/>
      <c r="B106" s="1454" t="str">
        <f>IF(Spells!D68="","",Spells!D68)</f>
        <v>1 object, 30'</v>
      </c>
      <c r="C106" s="1460"/>
      <c r="D106" s="1334"/>
      <c r="E106" s="1455"/>
      <c r="F106" s="1456"/>
      <c r="G106" s="1455"/>
      <c r="H106" s="1456"/>
      <c r="I106" s="1457"/>
      <c r="J106" s="130"/>
      <c r="K106" s="1428" t="str">
        <f>IF(Spells!D116="","",Spells!D116)</f>
        <v>Triggering creat, 30', WIL, 2d6 persist bleed</v>
      </c>
      <c r="L106" s="749"/>
      <c r="M106" s="1429"/>
      <c r="N106" s="1429"/>
      <c r="O106" s="1429"/>
      <c r="P106" s="1430"/>
      <c r="Q106" s="1430"/>
      <c r="R106" s="1431"/>
      <c r="S106" s="1432"/>
      <c r="T106" s="1433"/>
      <c r="U106" s="749"/>
      <c r="V106" s="1434"/>
      <c r="W106" s="1434"/>
      <c r="X106" s="1434"/>
      <c r="Y106" s="1434"/>
      <c r="Z106" s="1434"/>
      <c r="AA106" s="1435"/>
      <c r="AB106" s="838"/>
      <c r="AC106" s="637"/>
    </row>
    <row r="107" spans="1:29" ht="19.5" customHeight="1" x14ac:dyDescent="0.25">
      <c r="A107" s="596"/>
      <c r="B107" s="1458" t="str">
        <f>IF(Spells!D70="","","["&amp;Spells!D70&amp;"] "&amp;Spells!D71&amp;" ["&amp;Spells!D73&amp;"]")</f>
        <v>[Cantrip] Shield [1 (V)]</v>
      </c>
      <c r="C107" s="1335"/>
      <c r="D107" s="1334"/>
      <c r="E107" s="1455"/>
      <c r="F107" s="1456"/>
      <c r="G107" s="1455"/>
      <c r="H107" s="1459"/>
      <c r="I107" s="1457"/>
      <c r="J107" s="130"/>
      <c r="K107" s="1436" t="str">
        <f>IF(Spells!D118="","","["&amp;Spells!D118&amp;"] "&amp;Spells!D119&amp;" ["&amp;Spells!D121&amp;"]")</f>
        <v>[Signature Level 2] False Life [2 (SV)]</v>
      </c>
      <c r="L107" s="749"/>
      <c r="M107" s="1429"/>
      <c r="N107" s="1429"/>
      <c r="O107" s="1429"/>
      <c r="P107" s="1430"/>
      <c r="Q107" s="1430"/>
      <c r="R107" s="1431"/>
      <c r="S107" s="1432"/>
      <c r="T107" s="1433"/>
      <c r="U107" s="749"/>
      <c r="V107" s="1434"/>
      <c r="W107" s="1434"/>
      <c r="X107" s="1434"/>
      <c r="Y107" s="1434"/>
      <c r="Z107" s="1434"/>
      <c r="AA107" s="1435"/>
      <c r="AB107" s="838"/>
      <c r="AC107" s="637"/>
    </row>
    <row r="108" spans="1:29" ht="19.5" customHeight="1" x14ac:dyDescent="0.25">
      <c r="A108" s="596"/>
      <c r="B108" s="1454" t="str">
        <f>IF(Spells!D72="","",Spells!D72)</f>
        <v>+1 AC, until next turn, block hardness 10</v>
      </c>
      <c r="C108" s="1460"/>
      <c r="D108" s="1334"/>
      <c r="E108" s="1455"/>
      <c r="F108" s="1456"/>
      <c r="G108" s="1455"/>
      <c r="H108" s="1459"/>
      <c r="I108" s="1457"/>
      <c r="J108" s="130"/>
      <c r="K108" s="1428" t="str">
        <f>IF(Spells!D120="","",Spells!D120)</f>
        <v>You, 8 hours, 10 temp HP</v>
      </c>
      <c r="L108" s="749"/>
      <c r="M108" s="1429"/>
      <c r="N108" s="1429"/>
      <c r="O108" s="1429"/>
      <c r="P108" s="1430"/>
      <c r="Q108" s="1430"/>
      <c r="R108" s="1431"/>
      <c r="S108" s="1432"/>
      <c r="T108" s="1433"/>
      <c r="U108" s="749"/>
      <c r="V108" s="1434"/>
      <c r="W108" s="1434"/>
      <c r="X108" s="1434"/>
      <c r="Y108" s="1434"/>
      <c r="Z108" s="1434"/>
      <c r="AA108" s="1435"/>
      <c r="AB108" s="838"/>
      <c r="AC108" s="637"/>
    </row>
    <row r="109" spans="1:29" ht="19.5" customHeight="1" x14ac:dyDescent="0.25">
      <c r="A109" s="596"/>
      <c r="B109" s="1458" t="str">
        <f>IF(Spells!D74="","","["&amp;Spells!D74&amp;"] "&amp;Spells!D75&amp;" ["&amp;Spells!D77&amp;"]")</f>
        <v>[Cantrip] Telekinetic Projectile [2 (SV)]</v>
      </c>
      <c r="C109" s="1335"/>
      <c r="D109" s="1334"/>
      <c r="E109" s="1455"/>
      <c r="F109" s="1455"/>
      <c r="G109" s="1455"/>
      <c r="H109" s="1459"/>
      <c r="I109" s="1457"/>
      <c r="J109" s="130"/>
      <c r="K109" s="1436" t="str">
        <f>IF(Spells!D122="","","["&amp;Spells!D122&amp;"] "&amp;Spells!D123&amp;" ["&amp;Spells!D125&amp;"]")</f>
        <v>[[Signature Level 2]] Soothe [2 (SV)]</v>
      </c>
      <c r="L109" s="749"/>
      <c r="M109" s="1429"/>
      <c r="N109" s="1429"/>
      <c r="O109" s="1429"/>
      <c r="P109" s="1430"/>
      <c r="Q109" s="1430"/>
      <c r="R109" s="1431"/>
      <c r="S109" s="1432"/>
      <c r="T109" s="1433"/>
      <c r="U109" s="749"/>
      <c r="V109" s="1434"/>
      <c r="W109" s="1434"/>
      <c r="X109" s="1434"/>
      <c r="Y109" s="1434"/>
      <c r="Z109" s="1434"/>
      <c r="AA109" s="1435"/>
      <c r="AB109" s="838"/>
      <c r="AC109" s="637"/>
    </row>
    <row r="110" spans="1:29" ht="19.5" customHeight="1" x14ac:dyDescent="0.25">
      <c r="A110" s="596"/>
      <c r="B110" s="1454" t="str">
        <f>IF(Spells!D76="","",Spells!D76)</f>
        <v>1 creat, 30', 3d6+4 damage</v>
      </c>
      <c r="C110" s="1460"/>
      <c r="D110" s="1334"/>
      <c r="E110" s="1455"/>
      <c r="F110" s="1455"/>
      <c r="G110" s="1455"/>
      <c r="H110" s="1459"/>
      <c r="I110" s="1457"/>
      <c r="J110" s="130"/>
      <c r="K110" s="1428" t="str">
        <f>IF(Spells!D124="","",Spells!D124)</f>
        <v>1 creat, 30', 2d10+8HP, 1 min, +2 save mental</v>
      </c>
      <c r="L110" s="749"/>
      <c r="M110" s="1429"/>
      <c r="N110" s="1429"/>
      <c r="O110" s="1429"/>
      <c r="P110" s="1430"/>
      <c r="Q110" s="1430"/>
      <c r="R110" s="1431"/>
      <c r="S110" s="1432"/>
      <c r="T110" s="1433"/>
      <c r="U110" s="749"/>
      <c r="V110" s="1434"/>
      <c r="W110" s="1434"/>
      <c r="X110" s="1434"/>
      <c r="Y110" s="1434"/>
      <c r="Z110" s="1434"/>
      <c r="AA110" s="1435"/>
      <c r="AB110" s="838"/>
      <c r="AC110" s="637"/>
    </row>
    <row r="111" spans="1:29" ht="19.5" customHeight="1" x14ac:dyDescent="0.25">
      <c r="A111" s="596"/>
      <c r="B111" s="1458" t="str">
        <f>IF(Spells!D78="","","["&amp;Spells!D78&amp;"] "&amp;Spells!D79&amp;" ["&amp;Spells!D81&amp;"]")</f>
        <v/>
      </c>
      <c r="C111" s="1335"/>
      <c r="D111" s="1334"/>
      <c r="E111" s="1455"/>
      <c r="F111" s="1455"/>
      <c r="G111" s="1455"/>
      <c r="H111" s="1459"/>
      <c r="I111" s="1457"/>
      <c r="J111" s="130"/>
      <c r="K111" s="1437" t="str">
        <f>IF(Spells!D126="","","["&amp;Spells!D126&amp;"] "&amp;Spells!D127&amp;" ["&amp;Spells!D129&amp;"]")</f>
        <v>[Level 2] Sound Burst [2 (SV)]</v>
      </c>
      <c r="L111" s="749"/>
      <c r="M111" s="1429"/>
      <c r="N111" s="1429"/>
      <c r="O111" s="1429"/>
      <c r="P111" s="1430"/>
      <c r="Q111" s="1430"/>
      <c r="R111" s="1431"/>
      <c r="S111" s="1432"/>
      <c r="T111" s="1438"/>
      <c r="U111" s="749"/>
      <c r="V111" s="1434"/>
      <c r="W111" s="1434"/>
      <c r="X111" s="1434"/>
      <c r="Y111" s="1434"/>
      <c r="Z111" s="1434"/>
      <c r="AA111" s="1435"/>
      <c r="AB111" s="838"/>
      <c r="AC111" s="637"/>
    </row>
    <row r="112" spans="1:29" ht="19.5" customHeight="1" x14ac:dyDescent="0.25">
      <c r="A112" s="596"/>
      <c r="B112" s="1454" t="str">
        <f>IF(Spells!D80="","",Spells!D80)</f>
        <v/>
      </c>
      <c r="C112" s="1335"/>
      <c r="D112" s="1334"/>
      <c r="E112" s="1455"/>
      <c r="F112" s="1455"/>
      <c r="G112" s="1455"/>
      <c r="H112" s="1459"/>
      <c r="I112" s="1457"/>
      <c r="J112" s="130"/>
      <c r="K112" s="1428" t="str">
        <f>IF(Spells!D128="","",Spells!D128)</f>
        <v>10' burst, 30', FOR, 2d10 sonic + deafened</v>
      </c>
      <c r="L112" s="749"/>
      <c r="M112" s="1429"/>
      <c r="N112" s="1429"/>
      <c r="O112" s="1429"/>
      <c r="P112" s="1430"/>
      <c r="Q112" s="1430"/>
      <c r="R112" s="1431"/>
      <c r="S112" s="1432"/>
      <c r="T112" s="1438"/>
      <c r="U112" s="1439"/>
      <c r="V112" s="1434"/>
      <c r="W112" s="1434"/>
      <c r="X112" s="1434"/>
      <c r="Y112" s="1434"/>
      <c r="Z112" s="1434"/>
      <c r="AA112" s="1435"/>
      <c r="AB112" s="838"/>
      <c r="AC112" s="637"/>
    </row>
    <row r="113" spans="1:29" ht="19.5" customHeight="1" x14ac:dyDescent="0.25">
      <c r="A113" s="596"/>
      <c r="B113" s="1458" t="str">
        <f>IF(Spells!D82="","","["&amp;Spells!D82&amp;"] "&amp;Spells!D83&amp;" ["&amp;Spells!D85&amp;"]")</f>
        <v/>
      </c>
      <c r="C113" s="1335"/>
      <c r="D113" s="1334"/>
      <c r="E113" s="1455"/>
      <c r="F113" s="1455"/>
      <c r="G113" s="1455"/>
      <c r="H113" s="1459"/>
      <c r="I113" s="1457"/>
      <c r="J113" s="130"/>
      <c r="K113" s="1446" t="str">
        <f>IF(Spells!D130="","","["&amp;Spells!D130&amp;"] "&amp;Spells!D131&amp;" ["&amp;Spells!D133&amp;"]")</f>
        <v>[[Signature Level 3]] False Life [2 (SV)]</v>
      </c>
      <c r="L113" s="749"/>
      <c r="M113" s="1429"/>
      <c r="N113" s="1429"/>
      <c r="O113" s="1429"/>
      <c r="P113" s="1430"/>
      <c r="Q113" s="1430"/>
      <c r="R113" s="1431"/>
      <c r="S113" s="1432"/>
      <c r="T113" s="1438"/>
      <c r="U113" s="1439"/>
      <c r="V113" s="1434"/>
      <c r="W113" s="1434"/>
      <c r="X113" s="1434"/>
      <c r="Y113" s="1434"/>
      <c r="Z113" s="1434"/>
      <c r="AA113" s="1435"/>
      <c r="AB113" s="838"/>
      <c r="AC113" s="637"/>
    </row>
    <row r="114" spans="1:29" ht="19.5" customHeight="1" x14ac:dyDescent="0.25">
      <c r="A114" s="596"/>
      <c r="B114" s="1454" t="str">
        <f>IF(Spells!D84="","",Spells!D84)</f>
        <v/>
      </c>
      <c r="C114" s="1335"/>
      <c r="D114" s="1334"/>
      <c r="E114" s="1455"/>
      <c r="F114" s="1455"/>
      <c r="G114" s="1455"/>
      <c r="H114" s="1459"/>
      <c r="I114" s="1457"/>
      <c r="J114" s="130"/>
      <c r="K114" s="1428" t="str">
        <f>IF(Spells!D132="","",Spells!D132)</f>
        <v>You, 8 hours, 13 temp HP</v>
      </c>
      <c r="L114" s="1439"/>
      <c r="M114" s="1429"/>
      <c r="N114" s="1429"/>
      <c r="O114" s="1429"/>
      <c r="P114" s="1430"/>
      <c r="Q114" s="1430"/>
      <c r="R114" s="1431"/>
      <c r="S114" s="1432"/>
      <c r="T114" s="1438"/>
      <c r="U114" s="1439"/>
      <c r="V114" s="1434"/>
      <c r="W114" s="1434"/>
      <c r="X114" s="1434"/>
      <c r="Y114" s="1434"/>
      <c r="Z114" s="1434"/>
      <c r="AA114" s="1435"/>
      <c r="AB114" s="838"/>
      <c r="AC114" s="637"/>
    </row>
    <row r="115" spans="1:29" ht="19.5" customHeight="1" x14ac:dyDescent="0.25">
      <c r="A115" s="596"/>
      <c r="B115" s="1458" t="str">
        <f>IF(Spells!D86="","","["&amp;Spells!D86&amp;"] "&amp;Spells!D87&amp;" ["&amp;Spells!D89&amp;"]")</f>
        <v/>
      </c>
      <c r="C115" s="1335"/>
      <c r="D115" s="1334"/>
      <c r="E115" s="1455"/>
      <c r="F115" s="1455"/>
      <c r="G115" s="1455"/>
      <c r="H115" s="1459"/>
      <c r="I115" s="1457"/>
      <c r="J115" s="130"/>
      <c r="K115" s="1437" t="str">
        <f>IF(Spells!D134="","","["&amp;Spells!D134&amp;"] "&amp;Spells!D135&amp;" ["&amp;Spells!D137&amp;"]")</f>
        <v>[Level 3] Haste [2 (SV)]</v>
      </c>
      <c r="L115" s="1439"/>
      <c r="M115" s="1429"/>
      <c r="N115" s="1429"/>
      <c r="O115" s="1429"/>
      <c r="P115" s="1430"/>
      <c r="Q115" s="1430"/>
      <c r="R115" s="1431"/>
      <c r="S115" s="1432"/>
      <c r="T115" s="1438"/>
      <c r="U115" s="1439"/>
      <c r="V115" s="1434"/>
      <c r="W115" s="1434"/>
      <c r="X115" s="1434"/>
      <c r="Y115" s="1434"/>
      <c r="Z115" s="1434"/>
      <c r="AA115" s="1435"/>
      <c r="AB115" s="838"/>
      <c r="AC115" s="637"/>
    </row>
    <row r="116" spans="1:29" ht="19.5" customHeight="1" x14ac:dyDescent="0.25">
      <c r="A116" s="596"/>
      <c r="B116" s="1454" t="str">
        <f>IF(Spells!D88="","",Spells!D88)</f>
        <v/>
      </c>
      <c r="C116" s="1335"/>
      <c r="D116" s="1334"/>
      <c r="E116" s="1455"/>
      <c r="F116" s="1455"/>
      <c r="G116" s="1455"/>
      <c r="H116" s="1459"/>
      <c r="I116" s="1457"/>
      <c r="J116" s="130"/>
      <c r="K116" s="1428" t="str">
        <f>IF(Spells!D136="","",Spells!D136)</f>
        <v>1 creat, 30', quickened (+1 Stride/Strike), 1 min</v>
      </c>
      <c r="L116" s="1439"/>
      <c r="M116" s="1429"/>
      <c r="N116" s="1429"/>
      <c r="O116" s="1429"/>
      <c r="P116" s="1430"/>
      <c r="Q116" s="1430"/>
      <c r="R116" s="1431"/>
      <c r="S116" s="1432"/>
      <c r="T116" s="1438"/>
      <c r="U116" s="1439"/>
      <c r="V116" s="1434"/>
      <c r="W116" s="1434"/>
      <c r="X116" s="1434"/>
      <c r="Y116" s="1434"/>
      <c r="Z116" s="1434"/>
      <c r="AA116" s="1435"/>
      <c r="AB116" s="838"/>
      <c r="AC116" s="637"/>
    </row>
    <row r="117" spans="1:29" ht="19.5" customHeight="1" x14ac:dyDescent="0.25">
      <c r="A117" s="596"/>
      <c r="B117" s="1458" t="str">
        <f>IF(Spells!D90="","","["&amp;Spells!D90&amp;"] "&amp;Spells!D91&amp;" ["&amp;Spells!D93&amp;"]")</f>
        <v/>
      </c>
      <c r="C117" s="1335"/>
      <c r="D117" s="1334"/>
      <c r="E117" s="1455"/>
      <c r="F117" s="1455"/>
      <c r="G117" s="1455"/>
      <c r="H117" s="1459"/>
      <c r="I117" s="1457"/>
      <c r="J117" s="130"/>
      <c r="K117" s="1437" t="str">
        <f>IF(Spells!D138="","","["&amp;Spells!D138&amp;"] "&amp;Spells!D139&amp;" ["&amp;Spells!D141&amp;"]")</f>
        <v>[[Signature Level 3]] Soothe [2 (SV)]</v>
      </c>
      <c r="L117" s="1439"/>
      <c r="M117" s="1429"/>
      <c r="N117" s="1429"/>
      <c r="O117" s="1429"/>
      <c r="P117" s="1430"/>
      <c r="Q117" s="1430"/>
      <c r="R117" s="1431"/>
      <c r="S117" s="1432"/>
      <c r="T117" s="1438"/>
      <c r="U117" s="1439"/>
      <c r="V117" s="1434"/>
      <c r="W117" s="1434"/>
      <c r="X117" s="1434"/>
      <c r="Y117" s="1434"/>
      <c r="Z117" s="1434"/>
      <c r="AA117" s="1435"/>
      <c r="AB117" s="838"/>
      <c r="AC117" s="637"/>
    </row>
    <row r="118" spans="1:29" ht="19.5" customHeight="1" collapsed="1" x14ac:dyDescent="0.25">
      <c r="A118" s="596"/>
      <c r="B118" s="1454" t="str">
        <f>IF(Spells!D92="","",Spells!D92)</f>
        <v/>
      </c>
      <c r="C118" s="1335"/>
      <c r="D118" s="1334"/>
      <c r="E118" s="1455"/>
      <c r="F118" s="1455"/>
      <c r="G118" s="1455"/>
      <c r="H118" s="1459"/>
      <c r="I118" s="1457"/>
      <c r="J118" s="130"/>
      <c r="K118" s="1428" t="str">
        <f>IF(Spells!D140="","",Spells!D140)</f>
        <v>1 creat, 30', 3d10+12HP, 1 min, +2 save mental</v>
      </c>
      <c r="L118" s="1439"/>
      <c r="M118" s="1429"/>
      <c r="N118" s="1429"/>
      <c r="O118" s="1429"/>
      <c r="P118" s="1430"/>
      <c r="Q118" s="1430"/>
      <c r="R118" s="1431"/>
      <c r="S118" s="1432"/>
      <c r="T118" s="1438"/>
      <c r="U118" s="1439"/>
      <c r="V118" s="1434"/>
      <c r="W118" s="1434"/>
      <c r="X118" s="1434"/>
      <c r="Y118" s="1434"/>
      <c r="Z118" s="1434"/>
      <c r="AA118" s="1435"/>
      <c r="AB118" s="838"/>
      <c r="AC118" s="637"/>
    </row>
    <row r="119" spans="1:29" ht="19.5" customHeight="1" x14ac:dyDescent="0.25">
      <c r="A119" s="596"/>
      <c r="B119" s="1458" t="str">
        <f>IF(Spells!D94="","","["&amp;Spells!D94&amp;"] "&amp;Spells!D95&amp;" ["&amp;Spells!D97&amp;"]")</f>
        <v/>
      </c>
      <c r="C119" s="1335"/>
      <c r="D119" s="1334"/>
      <c r="E119" s="1455"/>
      <c r="F119" s="1455"/>
      <c r="G119" s="1455"/>
      <c r="H119" s="1459"/>
      <c r="I119" s="1457"/>
      <c r="J119" s="130"/>
      <c r="K119" s="1437" t="str">
        <f>IF(Spells!D142="","","["&amp;Spells!D142&amp;"] "&amp;Spells!D143&amp;" ["&amp;Spells!D145&amp;"]")</f>
        <v>[Signature Level 3] Vampiric Touch [2 (SV)]</v>
      </c>
      <c r="L119" s="1439"/>
      <c r="M119" s="1429"/>
      <c r="N119" s="1429"/>
      <c r="O119" s="1429"/>
      <c r="P119" s="1430"/>
      <c r="Q119" s="1430"/>
      <c r="R119" s="1431"/>
      <c r="S119" s="1432"/>
      <c r="T119" s="1438"/>
      <c r="U119" s="1439"/>
      <c r="V119" s="1434"/>
      <c r="W119" s="1434"/>
      <c r="X119" s="1434"/>
      <c r="Y119" s="1434"/>
      <c r="Z119" s="1434"/>
      <c r="AA119" s="1435"/>
      <c r="AB119" s="838"/>
      <c r="AC119" s="637"/>
    </row>
    <row r="120" spans="1:29" ht="19.5" customHeight="1" x14ac:dyDescent="0.25">
      <c r="A120" s="596"/>
      <c r="B120" s="1461" t="str">
        <f>IF(Spells!D96="","",Spells!D96)</f>
        <v/>
      </c>
      <c r="C120" s="1338"/>
      <c r="D120" s="1462"/>
      <c r="E120" s="1463"/>
      <c r="F120" s="1463"/>
      <c r="G120" s="1463"/>
      <c r="H120" s="1464"/>
      <c r="I120" s="1465"/>
      <c r="J120" s="130"/>
      <c r="K120" s="1428" t="str">
        <f>IF(Spells!D144="","",Spells!D144)</f>
        <v>1 living, touch, 6d6 neg dmg, half temp HP 1min</v>
      </c>
      <c r="L120" s="1439"/>
      <c r="M120" s="1429"/>
      <c r="N120" s="1429"/>
      <c r="O120" s="1429"/>
      <c r="P120" s="1430"/>
      <c r="Q120" s="1430"/>
      <c r="R120" s="1431"/>
      <c r="S120" s="1432"/>
      <c r="T120" s="1438"/>
      <c r="U120" s="1439"/>
      <c r="V120" s="1434"/>
      <c r="W120" s="1434"/>
      <c r="X120" s="1434"/>
      <c r="Y120" s="1434"/>
      <c r="Z120" s="1434"/>
      <c r="AA120" s="1435"/>
      <c r="AB120" s="838"/>
      <c r="AC120" s="637"/>
    </row>
    <row r="121" spans="1:29" ht="19.5" customHeight="1" x14ac:dyDescent="0.25">
      <c r="A121" s="596"/>
      <c r="C121" s="838"/>
      <c r="D121" s="130"/>
      <c r="E121" s="130"/>
      <c r="F121" s="130"/>
      <c r="G121" s="130"/>
      <c r="H121" s="130"/>
      <c r="I121" s="130"/>
      <c r="J121" s="130"/>
      <c r="K121" s="1437" t="str">
        <f>IF(Spells!D146="","","["&amp;Spells!D146&amp;"] "&amp;Spells!D147&amp;" ["&amp;Spells!D149&amp;"]")</f>
        <v/>
      </c>
      <c r="L121" s="1439"/>
      <c r="M121" s="1434"/>
      <c r="N121" s="1434"/>
      <c r="O121" s="1434"/>
      <c r="P121" s="1434"/>
      <c r="Q121" s="1434"/>
      <c r="R121" s="1435"/>
      <c r="S121" s="1432"/>
      <c r="T121" s="1438"/>
      <c r="U121" s="1439"/>
      <c r="V121" s="1434"/>
      <c r="W121" s="1434"/>
      <c r="X121" s="1434"/>
      <c r="Y121" s="1434"/>
      <c r="Z121" s="1434"/>
      <c r="AA121" s="1435"/>
      <c r="AB121" s="838"/>
      <c r="AC121" s="637"/>
    </row>
    <row r="122" spans="1:29" ht="19.5" hidden="1" customHeight="1" outlineLevel="1" x14ac:dyDescent="0.25">
      <c r="A122" s="596"/>
      <c r="B122" s="676" t="s">
        <v>558</v>
      </c>
      <c r="C122" s="457"/>
      <c r="D122" s="496"/>
      <c r="E122" s="457"/>
      <c r="F122" s="456"/>
      <c r="G122" s="496"/>
      <c r="H122" s="495"/>
      <c r="I122" s="456"/>
      <c r="J122" s="130"/>
      <c r="K122" s="1428" t="str">
        <f>IF(Spells!D148="","",Spells!D148)</f>
        <v/>
      </c>
      <c r="L122" s="1439"/>
      <c r="M122" s="1434"/>
      <c r="N122" s="1434"/>
      <c r="O122" s="1434"/>
      <c r="P122" s="1434"/>
      <c r="Q122" s="1434"/>
      <c r="R122" s="1435"/>
      <c r="S122" s="1432"/>
      <c r="T122" s="1438"/>
      <c r="U122" s="1439"/>
      <c r="V122" s="1434"/>
      <c r="W122" s="1434"/>
      <c r="X122" s="1434"/>
      <c r="Y122" s="1434"/>
      <c r="Z122" s="1434"/>
      <c r="AA122" s="1435"/>
      <c r="AB122" s="838"/>
      <c r="AC122" s="637"/>
    </row>
    <row r="123" spans="1:29" ht="19.5" hidden="1" customHeight="1" outlineLevel="1" x14ac:dyDescent="0.25">
      <c r="A123" s="596"/>
      <c r="B123" s="1482" t="str">
        <f>IF(Spells!D37="","","["&amp;Spells!D37&amp;"] "&amp;Spells!D38&amp;" ["&amp;Spells!D40&amp;"]")</f>
        <v/>
      </c>
      <c r="C123" s="1466"/>
      <c r="D123" s="706"/>
      <c r="E123" s="706"/>
      <c r="F123" s="706"/>
      <c r="G123" s="706"/>
      <c r="H123" s="1483"/>
      <c r="I123" s="708"/>
      <c r="J123" s="130"/>
      <c r="K123" s="1437" t="str">
        <f>IF(Spells!D150="","","["&amp;Spells!D150&amp;"] "&amp;Spells!D151&amp;" ["&amp;Spells!D153&amp;"]")</f>
        <v/>
      </c>
      <c r="L123" s="1439"/>
      <c r="M123" s="1434"/>
      <c r="N123" s="1434"/>
      <c r="O123" s="1434"/>
      <c r="P123" s="1434"/>
      <c r="Q123" s="1434"/>
      <c r="R123" s="1435"/>
      <c r="S123" s="1432"/>
      <c r="T123" s="1438"/>
      <c r="U123" s="1439"/>
      <c r="V123" s="1434"/>
      <c r="W123" s="1434"/>
      <c r="X123" s="1434"/>
      <c r="Y123" s="1434"/>
      <c r="Z123" s="1434"/>
      <c r="AA123" s="1435"/>
      <c r="AB123" s="838"/>
      <c r="AC123" s="637"/>
    </row>
    <row r="124" spans="1:29" ht="19.5" hidden="1" customHeight="1" outlineLevel="1" x14ac:dyDescent="0.25">
      <c r="A124" s="596"/>
      <c r="B124" s="1484" t="str">
        <f>IF(Spells!D39="","",Spells!D39)</f>
        <v/>
      </c>
      <c r="C124" s="1485"/>
      <c r="D124" s="1485"/>
      <c r="E124" s="1485"/>
      <c r="F124" s="1485"/>
      <c r="G124" s="1485"/>
      <c r="H124" s="1486"/>
      <c r="I124" s="1487"/>
      <c r="J124" s="130"/>
      <c r="K124" s="1447" t="str">
        <f>IF(Spells!D152="","",Spells!D152)</f>
        <v/>
      </c>
      <c r="L124" s="1439"/>
      <c r="M124" s="1434"/>
      <c r="N124" s="1434"/>
      <c r="O124" s="1434"/>
      <c r="P124" s="1434"/>
      <c r="Q124" s="1434"/>
      <c r="R124" s="1435"/>
      <c r="S124" s="1432"/>
      <c r="T124" s="1438"/>
      <c r="U124" s="1439"/>
      <c r="V124" s="1434"/>
      <c r="W124" s="1434"/>
      <c r="X124" s="1434"/>
      <c r="Y124" s="1434"/>
      <c r="Z124" s="1434"/>
      <c r="AA124" s="1435"/>
      <c r="AB124" s="838"/>
      <c r="AC124" s="637"/>
    </row>
    <row r="125" spans="1:29" ht="19.5" hidden="1" customHeight="1" outlineLevel="1" x14ac:dyDescent="0.25">
      <c r="A125" s="596"/>
      <c r="B125" s="1488" t="str">
        <f>IF(Spells!D41="","","["&amp;Spells!D41&amp;"] "&amp;Spells!D42&amp;" ["&amp;Spells!D44&amp;"]")</f>
        <v/>
      </c>
      <c r="C125" s="1485"/>
      <c r="D125" s="1485"/>
      <c r="E125" s="1485"/>
      <c r="F125" s="1485"/>
      <c r="G125" s="1485"/>
      <c r="H125" s="1489"/>
      <c r="I125" s="1487"/>
      <c r="J125" s="130"/>
      <c r="K125" s="1437" t="str">
        <f>IF(Spells!D154="","","["&amp;Spells!D154&amp;"] "&amp;Spells!D155&amp;" ["&amp;Spells!D157&amp;"]")</f>
        <v/>
      </c>
      <c r="L125" s="1439"/>
      <c r="M125" s="1434"/>
      <c r="N125" s="1434"/>
      <c r="O125" s="1434"/>
      <c r="P125" s="1434"/>
      <c r="Q125" s="1434"/>
      <c r="R125" s="1435"/>
      <c r="S125" s="1432"/>
      <c r="T125" s="1438"/>
      <c r="U125" s="1439"/>
      <c r="V125" s="1434"/>
      <c r="W125" s="1434"/>
      <c r="X125" s="1434"/>
      <c r="Y125" s="1434"/>
      <c r="Z125" s="1434"/>
      <c r="AA125" s="1435"/>
      <c r="AB125" s="838"/>
      <c r="AC125" s="637"/>
    </row>
    <row r="126" spans="1:29" ht="19.5" hidden="1" customHeight="1" outlineLevel="1" x14ac:dyDescent="0.25">
      <c r="A126" s="596"/>
      <c r="B126" s="1490" t="str">
        <f>IF(Spells!D43="","",Spells!D43)</f>
        <v/>
      </c>
      <c r="C126" s="711"/>
      <c r="D126" s="711"/>
      <c r="E126" s="711"/>
      <c r="F126" s="711"/>
      <c r="G126" s="711"/>
      <c r="H126" s="1420"/>
      <c r="I126" s="713"/>
      <c r="J126" s="130"/>
      <c r="K126" s="1447" t="str">
        <f>IF(Spells!D156="","",Spells!D156)</f>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ht="19.5" hidden="1" customHeight="1" outlineLevel="1" x14ac:dyDescent="0.25">
      <c r="A127" s="596"/>
      <c r="C127" s="838"/>
      <c r="D127" s="130"/>
      <c r="E127" s="130"/>
      <c r="F127" s="130"/>
      <c r="G127" s="130"/>
      <c r="H127" s="130"/>
      <c r="I127" s="130"/>
      <c r="J127" s="130"/>
      <c r="K127" s="1437" t="str">
        <f>IF(Spells!D158="","","["&amp;Spells!D158&amp;"] "&amp;Spells!D159&amp;" ["&amp;Spells!D161&amp;"]")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ht="19.5" customHeight="1" collapsed="1" x14ac:dyDescent="0.25">
      <c r="A128" s="596"/>
      <c r="B128" s="495" t="s">
        <v>164</v>
      </c>
      <c r="C128" s="457"/>
      <c r="D128" s="495" t="s">
        <v>560</v>
      </c>
      <c r="E128" s="130"/>
      <c r="F128" s="130"/>
      <c r="G128" s="130"/>
      <c r="H128" s="130"/>
      <c r="I128" s="130"/>
      <c r="J128" s="130"/>
      <c r="K128" s="1447" t="str">
        <f>IF(Spells!D160="","",Spells!D160)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ht="19.5" customHeight="1" x14ac:dyDescent="0.3">
      <c r="A129" s="596"/>
      <c r="B129" s="770">
        <f>IF(Spells!D45="","",Spells!D45)</f>
        <v>2</v>
      </c>
      <c r="C129" s="130"/>
      <c r="D129" s="497"/>
      <c r="E129" s="130"/>
      <c r="F129" s="130"/>
      <c r="G129" s="130"/>
      <c r="H129" s="130"/>
      <c r="I129" s="130"/>
      <c r="J129" s="130"/>
      <c r="K129" s="1437" t="str">
        <f>IF(Spells!D162="","","["&amp;Spells!D162&amp;"] "&amp;Spells!D163&amp;" ["&amp;Spells!D165&amp;"]")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ht="19.5" customHeight="1" x14ac:dyDescent="0.25">
      <c r="A130" s="596"/>
      <c r="B130" s="676" t="s">
        <v>559</v>
      </c>
      <c r="C130" s="457"/>
      <c r="D130" s="496"/>
      <c r="E130" s="457"/>
      <c r="F130" s="456"/>
      <c r="G130" s="496"/>
      <c r="H130" s="495"/>
      <c r="I130" s="456"/>
      <c r="J130" s="130"/>
      <c r="K130" s="1447" t="str">
        <f>IF(Spells!D164="","",Spells!D164)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ht="19.5" customHeight="1" x14ac:dyDescent="0.25">
      <c r="A131" s="596"/>
      <c r="B131" s="1467" t="str">
        <f>IF(Spells!D46="","","["&amp;Spells!D46&amp;"] "&amp;Spells!D47&amp;" ["&amp;Spells!D49&amp;"]")</f>
        <v>[Focus 1] Counter Performance [R (S or V)]</v>
      </c>
      <c r="C131" s="1468"/>
      <c r="D131" s="1469"/>
      <c r="E131" s="1470"/>
      <c r="F131" s="1470"/>
      <c r="G131" s="1470"/>
      <c r="H131" s="1470"/>
      <c r="I131" s="1471"/>
      <c r="J131" s="130"/>
      <c r="K131" s="1437" t="str">
        <f>IF(Spells!D166="","","["&amp;Spells!D166&amp;"] "&amp;Spells!D167&amp;" ["&amp;Spells!D169&amp;"]")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ht="19.5" customHeight="1" x14ac:dyDescent="0.25">
      <c r="A132" s="596"/>
      <c r="B132" s="1472" t="str">
        <f>IF(Spells!D48="","",Spells!D48)</f>
        <v>You &amp; allies 60', auditory/visual, perf check if better than save</v>
      </c>
      <c r="C132" s="1473"/>
      <c r="D132" s="1474"/>
      <c r="E132" s="1474"/>
      <c r="F132" s="1474"/>
      <c r="G132" s="1474"/>
      <c r="H132" s="1473"/>
      <c r="I132" s="1475"/>
      <c r="J132" s="130"/>
      <c r="K132" s="1447" t="str">
        <f>IF(Spells!D168="","",Spells!D168)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ht="19.5" customHeight="1" x14ac:dyDescent="0.25">
      <c r="A133" s="596"/>
      <c r="B133" s="1476" t="str">
        <f>IF(Spells!D50="","","["&amp;Spells!D50&amp;"] "&amp;Spells!D51&amp;" ["&amp;Spells!D53&amp;"]")</f>
        <v>[Focus 1] Loremaster's Etude [R (S)]</v>
      </c>
      <c r="C133" s="1477"/>
      <c r="D133" s="1474"/>
      <c r="E133" s="1474"/>
      <c r="F133" s="1474"/>
      <c r="G133" s="1474"/>
      <c r="H133" s="1474"/>
      <c r="I133" s="1475"/>
      <c r="J133" s="130"/>
      <c r="K133" s="1437" t="str">
        <f>IF(Spells!D170="","","["&amp;Spells!D170&amp;"] "&amp;Spells!D171&amp;" ["&amp;Spells!D173&amp;"]")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ht="19.5" customHeight="1" x14ac:dyDescent="0.25">
      <c r="A134" s="596"/>
      <c r="B134" s="1478" t="str">
        <f>IF(Spells!D52="","",Spells!D52)</f>
        <v>You or ally 30', Recall Knowledge, best of two rolls</v>
      </c>
      <c r="C134" s="1479"/>
      <c r="D134" s="1480"/>
      <c r="E134" s="1480"/>
      <c r="F134" s="1480"/>
      <c r="G134" s="1480"/>
      <c r="H134" s="1479"/>
      <c r="I134" s="1481"/>
      <c r="J134" s="130"/>
      <c r="K134" s="1448" t="str">
        <f>IF(Spells!D172="","",Spells!D172)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ht="19.5" customHeight="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ht="19.5" customHeight="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789"/>
      <c r="T137" s="789"/>
      <c r="U137" s="789"/>
      <c r="V137" s="789"/>
      <c r="W137" s="675"/>
      <c r="X137" s="675"/>
      <c r="Y137" s="675"/>
      <c r="Z137" s="789"/>
      <c r="AA137" s="789"/>
      <c r="AB137" s="789"/>
      <c r="AC137" s="649"/>
    </row>
    <row r="138" spans="1:29" ht="19.5" customHeight="1" x14ac:dyDescent="0.25">
      <c r="A138" s="656"/>
      <c r="B138" s="689" t="s">
        <v>517</v>
      </c>
      <c r="C138" s="690"/>
      <c r="D138" s="690"/>
      <c r="E138" s="690"/>
      <c r="F138" s="691" t="s">
        <v>518</v>
      </c>
      <c r="G138" s="690"/>
      <c r="H138" s="690"/>
      <c r="I138" s="1491"/>
      <c r="J138" s="454"/>
      <c r="K138" s="1494" t="str">
        <f>IF(Création!D12="","",Création!D12)</f>
        <v>Common</v>
      </c>
      <c r="L138" s="1495"/>
      <c r="M138" s="1495"/>
      <c r="N138" s="1496"/>
      <c r="O138" s="454"/>
      <c r="P138" s="454"/>
      <c r="Q138" s="454"/>
      <c r="R138" s="454"/>
      <c r="S138" s="790"/>
      <c r="T138" s="790"/>
      <c r="U138" s="790"/>
      <c r="V138" s="7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Création!D5</f>
        <v>F</v>
      </c>
      <c r="I139" s="1492"/>
      <c r="J139" s="454"/>
      <c r="K139" s="1497" t="str">
        <f>IF(Création!D13="","",Création!D13)</f>
        <v>INT 12 = Orcish</v>
      </c>
      <c r="L139" s="1498"/>
      <c r="M139" s="1498"/>
      <c r="N139" s="1499"/>
      <c r="O139" s="454"/>
      <c r="P139" s="454"/>
      <c r="Q139" s="454"/>
      <c r="R139" s="454"/>
      <c r="S139" s="790"/>
      <c r="T139" s="790"/>
      <c r="U139" s="790"/>
      <c r="V139" s="7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IF(Création!D14="","",Création!D14)</f>
        <v/>
      </c>
      <c r="L140" s="1498"/>
      <c r="M140" s="1498"/>
      <c r="N140" s="1499"/>
      <c r="O140" s="454"/>
      <c r="P140" s="454"/>
      <c r="Q140" s="454"/>
      <c r="R140" s="454"/>
      <c r="S140" s="790"/>
      <c r="T140" s="790"/>
      <c r="U140" s="790"/>
      <c r="V140" s="7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IF(Création!D15="","",Création!D15)</f>
        <v/>
      </c>
      <c r="L141" s="1498"/>
      <c r="M141" s="1498"/>
      <c r="N141" s="1499"/>
      <c r="O141" s="454"/>
      <c r="P141" s="454"/>
      <c r="Q141" s="454"/>
      <c r="R141" s="454"/>
      <c r="S141" s="790"/>
      <c r="T141" s="790"/>
      <c r="U141" s="790"/>
      <c r="V141" s="7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IF(Création!D16="","",Création!D16)</f>
        <v/>
      </c>
      <c r="L142" s="1498"/>
      <c r="M142" s="1498"/>
      <c r="N142" s="1499"/>
      <c r="O142" s="454"/>
      <c r="P142" s="454"/>
      <c r="Q142" s="454"/>
      <c r="R142" s="454"/>
      <c r="S142" s="790"/>
      <c r="T142" s="790"/>
      <c r="U142" s="790"/>
      <c r="V142" s="7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IF(Création!D17="","",Création!D17)</f>
        <v/>
      </c>
      <c r="L143" s="1501"/>
      <c r="M143" s="1501"/>
      <c r="N143" s="1502"/>
      <c r="O143" s="454"/>
      <c r="P143" s="454"/>
      <c r="Q143" s="454"/>
      <c r="R143" s="454"/>
      <c r="S143" s="790"/>
      <c r="T143" s="790"/>
      <c r="U143" s="790"/>
      <c r="V143" s="790"/>
      <c r="W143" s="454"/>
      <c r="X143" s="454"/>
      <c r="Y143" s="454"/>
      <c r="Z143" s="454"/>
      <c r="AA143" s="454"/>
      <c r="AB143" s="454"/>
      <c r="AC143" s="637"/>
    </row>
    <row r="144" spans="1:29" ht="19.5" customHeight="1"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ht="15" x14ac:dyDescent="0.25">
      <c r="A145" s="656"/>
      <c r="B145" s="1547" t="str">
        <f>'Equipment Combat'!D533</f>
        <v xml:space="preserve">  </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9.5" customHeight="1" x14ac:dyDescent="0.25">
      <c r="A146" s="656"/>
      <c r="B146" s="657" t="s">
        <v>830</v>
      </c>
      <c r="C146" s="454"/>
      <c r="D146" s="454"/>
      <c r="E146" s="454"/>
      <c r="F146" s="454"/>
      <c r="G146" s="454"/>
      <c r="H146" s="454"/>
      <c r="I146" s="454"/>
      <c r="J146" s="1005"/>
      <c r="K146" s="1005"/>
      <c r="L146" s="1005"/>
      <c r="M146" s="1005"/>
      <c r="N146" s="1005"/>
      <c r="O146" s="1005"/>
      <c r="P146" s="454"/>
      <c r="Q146" s="454"/>
      <c r="R146" s="454"/>
      <c r="S146" s="1004"/>
      <c r="T146" s="1004"/>
      <c r="U146" s="1004"/>
      <c r="V146" s="1004"/>
      <c r="W146" s="454"/>
      <c r="X146" s="454"/>
      <c r="Y146" s="454"/>
      <c r="Z146" s="454"/>
      <c r="AA146" s="454"/>
      <c r="AB146" s="454"/>
      <c r="AC146" s="637"/>
    </row>
    <row r="147" spans="1:29" ht="15" x14ac:dyDescent="0.25">
      <c r="A147" s="656"/>
      <c r="B147" s="1537" t="str">
        <f>Création!D37</f>
        <v xml:space="preserve">  </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9.5" hidden="1" customHeight="1" outlineLevel="1" x14ac:dyDescent="0.25">
      <c r="A148" s="656"/>
      <c r="B148" s="657" t="s">
        <v>548</v>
      </c>
      <c r="C148" s="454"/>
      <c r="D148" s="454"/>
      <c r="E148" s="454"/>
      <c r="F148" s="454"/>
      <c r="G148" s="454"/>
      <c r="H148" s="454"/>
      <c r="I148" s="454"/>
      <c r="J148" s="1005"/>
      <c r="K148" s="1005"/>
      <c r="L148" s="1005"/>
      <c r="M148" s="1005"/>
      <c r="N148" s="1005"/>
      <c r="O148" s="1005"/>
      <c r="P148" s="454"/>
      <c r="Q148" s="454"/>
      <c r="R148" s="454"/>
      <c r="S148" s="1004"/>
      <c r="T148" s="1004"/>
      <c r="U148" s="1004"/>
      <c r="V148" s="1004"/>
      <c r="W148" s="454"/>
      <c r="X148" s="454"/>
      <c r="Y148" s="454"/>
      <c r="Z148" s="454"/>
      <c r="AA148" s="454"/>
      <c r="AB148" s="454"/>
      <c r="AC148" s="637"/>
    </row>
    <row r="149" spans="1:29" ht="13.5" hidden="1" customHeight="1" outlineLevel="1" x14ac:dyDescent="0.25">
      <c r="A149" s="656"/>
      <c r="B149" s="1410" t="str">
        <f>IF(Minions!D87="","",Minions!D87)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3.5" hidden="1" customHeight="1" outlineLevel="1" x14ac:dyDescent="0.25">
      <c r="A150" s="656"/>
      <c r="B150" s="1414" t="str">
        <f>IF(Minions!D88="","",Minions!D88)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3.5" hidden="1" customHeight="1" outlineLevel="1" x14ac:dyDescent="0.25">
      <c r="A151" s="656"/>
      <c r="B151" s="1414" t="str">
        <f>IF(Minions!D89="","",Minions!D89)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3.5" hidden="1" customHeight="1" outlineLevel="1" x14ac:dyDescent="0.25">
      <c r="A152" s="656"/>
      <c r="B152" s="1414" t="str">
        <f>IF(Minions!D90="","",Minions!D90)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IF(Minions!D91="","",Minions!D91)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9.5" customHeight="1"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S9:U9"/>
    <mergeCell ref="B145:AB145"/>
    <mergeCell ref="B147:AB147"/>
    <mergeCell ref="G24:H24"/>
    <mergeCell ref="I7:J7"/>
    <mergeCell ref="K7:L7"/>
    <mergeCell ref="M7:N7"/>
    <mergeCell ref="J9:K9"/>
    <mergeCell ref="E21:F21"/>
    <mergeCell ref="O21:P21"/>
    <mergeCell ref="E22:F22"/>
    <mergeCell ref="X62:AB62"/>
    <mergeCell ref="E18:F18"/>
    <mergeCell ref="O18:P18"/>
    <mergeCell ref="E19:F19"/>
    <mergeCell ref="O19:P19"/>
    <mergeCell ref="O17:Q17"/>
    <mergeCell ref="R62:W62"/>
    <mergeCell ref="E20:F20"/>
    <mergeCell ref="O20:P20"/>
    <mergeCell ref="O22:P22"/>
    <mergeCell ref="E23:F23"/>
    <mergeCell ref="O23:P23"/>
  </mergeCells>
  <conditionalFormatting sqref="R62:W62">
    <cfRule type="containsText" dxfId="29" priority="3" operator="containsText" text="Cannot">
      <formula>NOT(ISERROR(SEARCH("Cannot",R62)))</formula>
    </cfRule>
    <cfRule type="containsText" dxfId="28" priority="4" operator="containsText" text="Encumbered">
      <formula>NOT(ISERROR(SEARCH("Encumbered",R62)))</formula>
    </cfRule>
    <cfRule type="containsText" dxfId="27" priority="5" operator="containsText" text="Fine">
      <formula>NOT(ISERROR(SEARCH("Fine",R62)))</formula>
    </cfRule>
  </conditionalFormatting>
  <conditionalFormatting sqref="X62">
    <cfRule type="containsText" dxfId="26" priority="1" operator="containsText" text="Overloaded">
      <formula>NOT(ISERROR(SEARCH("Overloaded",X62)))</formula>
    </cfRule>
    <cfRule type="containsText" dxfId="25" priority="2" operator="containsText" text="OK">
      <formula>NOT(ISERROR(SEARCH("OK",X62)))</formula>
    </cfRule>
  </conditionalFormatting>
  <hyperlinks>
    <hyperlink ref="D1" r:id="rId1" location="id=2544341" xr:uid="{8D013794-8839-448B-B978-B2289C8357D8}"/>
  </hyperlinks>
  <pageMargins left="0.25" right="0.25" top="0.75" bottom="0.75" header="0.3" footer="0.3"/>
  <pageSetup paperSize="9" scale="69" orientation="portrait" horizontalDpi="360" verticalDpi="36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1060-1F8C-48D4-B1E7-FA05E20F2004}">
  <sheetPr>
    <pageSetUpPr fitToPage="1"/>
  </sheetPr>
  <dimension ref="A1:AC160"/>
  <sheetViews>
    <sheetView showGridLines="0" workbookViewId="0">
      <pane ySplit="2" topLeftCell="A89" activePane="bottomLeft" state="frozen"/>
      <selection activeCell="T8" sqref="T8"/>
      <selection pane="bottomLeft" activeCell="T8" sqref="T8"/>
    </sheetView>
  </sheetViews>
  <sheetFormatPr baseColWidth="10" defaultColWidth="5.7109375" defaultRowHeight="19.5" customHeight="1" outlineLevelRow="1" x14ac:dyDescent="0.25"/>
  <cols>
    <col min="1" max="22" width="5.7109375" style="459"/>
    <col min="23" max="23" width="7.5703125" style="459" bestFit="1" customWidth="1"/>
    <col min="24" max="16384" width="5.7109375" style="459"/>
  </cols>
  <sheetData>
    <row r="1" spans="1:29" ht="19.5" customHeight="1" x14ac:dyDescent="0.25">
      <c r="A1" s="629"/>
      <c r="B1" s="630" t="s">
        <v>487</v>
      </c>
      <c r="C1" s="631"/>
      <c r="D1" s="654" t="s">
        <v>266</v>
      </c>
      <c r="E1" s="631"/>
      <c r="F1" s="631"/>
      <c r="G1" s="630" t="s">
        <v>488</v>
      </c>
      <c r="H1" s="631"/>
      <c r="I1" s="631" t="str">
        <f>Création!E1</f>
        <v>Luc</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Création!E3</f>
        <v>Barbarian</v>
      </c>
      <c r="E2" s="498"/>
      <c r="F2" s="498"/>
      <c r="G2" s="494" t="s">
        <v>26</v>
      </c>
      <c r="H2" s="498"/>
      <c r="I2" s="498" t="str">
        <f>Création!E6</f>
        <v>Ancient-Blooded Dwarf</v>
      </c>
      <c r="J2" s="498"/>
      <c r="K2" s="498"/>
      <c r="L2" s="498"/>
      <c r="M2" s="490"/>
      <c r="N2" s="498"/>
      <c r="O2" s="498"/>
      <c r="P2" s="494" t="s">
        <v>42</v>
      </c>
      <c r="Q2" s="498"/>
      <c r="R2" s="498" t="str">
        <f>Création!E7</f>
        <v>Martial Disciple</v>
      </c>
      <c r="S2" s="498"/>
      <c r="T2" s="498"/>
      <c r="U2" s="498"/>
      <c r="V2" s="498"/>
      <c r="W2" s="498"/>
      <c r="X2" s="498"/>
      <c r="Y2" s="498"/>
      <c r="Z2" s="498"/>
      <c r="AA2" s="498"/>
      <c r="AB2" s="437"/>
      <c r="AC2" s="637"/>
    </row>
    <row r="3" spans="1:29" ht="19.5" customHeight="1" x14ac:dyDescent="0.3">
      <c r="A3" s="638"/>
      <c r="B3" s="438" t="s">
        <v>490</v>
      </c>
      <c r="C3" s="439"/>
      <c r="D3" s="440">
        <f>'Dés de vie'!E13</f>
        <v>5</v>
      </c>
      <c r="E3" s="439"/>
      <c r="F3" s="439"/>
      <c r="G3" s="438" t="s">
        <v>205</v>
      </c>
      <c r="H3" s="439"/>
      <c r="I3" s="439" t="str">
        <f>Création!E28</f>
        <v>Medium</v>
      </c>
      <c r="J3" s="439"/>
      <c r="K3" s="438" t="s">
        <v>491</v>
      </c>
      <c r="L3" s="439"/>
      <c r="M3" s="439" t="str">
        <f>Création!E9</f>
        <v>Angradd</v>
      </c>
      <c r="N3" s="439"/>
      <c r="O3" s="439"/>
      <c r="P3" s="438" t="s">
        <v>159</v>
      </c>
      <c r="Q3" s="439"/>
      <c r="R3" s="439" t="str">
        <f>Création!E8</f>
        <v>LG</v>
      </c>
      <c r="S3" s="439"/>
      <c r="T3" s="439"/>
      <c r="U3" s="439"/>
      <c r="V3" s="441"/>
      <c r="W3" s="441"/>
      <c r="X3" s="441"/>
      <c r="Y3" s="439"/>
      <c r="Z3" s="439"/>
      <c r="AA3" s="439"/>
      <c r="AB3" s="442"/>
      <c r="AC3" s="637"/>
    </row>
    <row r="4" spans="1:29" s="450" customFormat="1" ht="19.5" customHeight="1" x14ac:dyDescent="0.3">
      <c r="A4" s="639"/>
      <c r="B4" s="640" t="s">
        <v>492</v>
      </c>
      <c r="C4" s="640"/>
      <c r="D4" s="640"/>
      <c r="E4" s="640"/>
      <c r="F4" s="640"/>
      <c r="G4" s="640"/>
      <c r="H4" s="640"/>
      <c r="I4" s="1317" t="s">
        <v>493</v>
      </c>
      <c r="J4" s="1317"/>
      <c r="K4" s="640"/>
      <c r="L4" s="640"/>
      <c r="M4" s="641"/>
      <c r="N4" s="641"/>
      <c r="O4" s="641"/>
      <c r="P4" s="640"/>
      <c r="Q4" s="640"/>
      <c r="R4" s="640"/>
      <c r="S4" s="640"/>
      <c r="T4" s="640"/>
      <c r="U4" s="640"/>
      <c r="V4" s="641"/>
      <c r="W4" s="640" t="s">
        <v>494</v>
      </c>
      <c r="X4" s="640"/>
      <c r="Y4" s="640"/>
      <c r="Z4" s="640"/>
      <c r="AA4" s="640"/>
      <c r="AB4" s="640"/>
      <c r="AC4" s="642"/>
    </row>
    <row r="5" spans="1:29" ht="19.5" customHeight="1" x14ac:dyDescent="0.25">
      <c r="A5" s="636"/>
      <c r="B5" s="489" t="s">
        <v>79</v>
      </c>
      <c r="C5" s="489" t="s">
        <v>495</v>
      </c>
      <c r="D5" s="489" t="s">
        <v>496</v>
      </c>
      <c r="E5" s="489" t="s">
        <v>79</v>
      </c>
      <c r="F5" s="489" t="s">
        <v>495</v>
      </c>
      <c r="G5" s="489" t="s">
        <v>496</v>
      </c>
      <c r="H5" s="490"/>
      <c r="I5" s="782">
        <f>'Dés de vie'!E16</f>
        <v>85</v>
      </c>
      <c r="J5" s="1401"/>
      <c r="K5" s="498"/>
      <c r="L5" s="498"/>
      <c r="M5" s="494"/>
      <c r="N5" s="490"/>
      <c r="O5" s="4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Stats!E2</f>
        <v>19</v>
      </c>
      <c r="D6" s="1385">
        <f>Stats!E11</f>
        <v>4</v>
      </c>
      <c r="E6" s="1386" t="s">
        <v>11</v>
      </c>
      <c r="F6" s="1385">
        <f>Stats!E3</f>
        <v>16</v>
      </c>
      <c r="G6" s="1387">
        <f>Stats!E12</f>
        <v>3</v>
      </c>
      <c r="H6" s="490"/>
      <c r="I6" s="640" t="s">
        <v>497</v>
      </c>
      <c r="J6" s="490"/>
      <c r="K6" s="490"/>
      <c r="L6" s="489"/>
      <c r="M6" s="490" t="s">
        <v>644</v>
      </c>
      <c r="N6" s="489"/>
      <c r="O6" s="490"/>
      <c r="P6" s="490"/>
      <c r="Q6" s="489" t="s">
        <v>324</v>
      </c>
      <c r="R6" s="490"/>
      <c r="S6" s="490"/>
      <c r="T6" s="489" t="s">
        <v>342</v>
      </c>
      <c r="U6" s="490"/>
      <c r="V6" s="489" t="s">
        <v>297</v>
      </c>
      <c r="W6" s="1395" t="str">
        <f>Skills!A137</f>
        <v>Simple weapons</v>
      </c>
      <c r="X6" s="1396"/>
      <c r="Y6" s="1396"/>
      <c r="Z6" s="1396"/>
      <c r="AA6" s="731" t="str">
        <f>Skills!E137</f>
        <v>Expert</v>
      </c>
      <c r="AB6" s="1397"/>
      <c r="AC6" s="637"/>
    </row>
    <row r="7" spans="1:29" ht="19.5" customHeight="1" x14ac:dyDescent="0.25">
      <c r="A7" s="643"/>
      <c r="B7" s="1388" t="s">
        <v>8</v>
      </c>
      <c r="C7" s="1389">
        <f>Stats!E4</f>
        <v>16</v>
      </c>
      <c r="D7" s="1389">
        <f>Stats!E13</f>
        <v>3</v>
      </c>
      <c r="E7" s="1368" t="s">
        <v>12</v>
      </c>
      <c r="F7" s="1389">
        <f>Stats!E5</f>
        <v>12</v>
      </c>
      <c r="G7" s="1390">
        <f>Stats!E14</f>
        <v>1</v>
      </c>
      <c r="H7" s="490"/>
      <c r="I7" s="1552" t="str">
        <f>'Equipment Combat'!E343</f>
        <v>22</v>
      </c>
      <c r="J7" s="1553"/>
      <c r="K7" s="1550" t="s">
        <v>498</v>
      </c>
      <c r="L7" s="1550"/>
      <c r="M7" s="1554" t="str">
        <f>IF('Equipment Combat'!E342="",'Equipment Combat'!E341,CONCATENATE("MIN(",'Equipment Combat'!E341,"/",'Equipment Combat'!E342,")"))</f>
        <v>MIN(3/2)</v>
      </c>
      <c r="N7" s="1554"/>
      <c r="O7" s="1320" t="s">
        <v>499</v>
      </c>
      <c r="P7" s="1320">
        <f>'Equipment Combat'!E340</f>
        <v>7</v>
      </c>
      <c r="Q7" s="774" t="str">
        <f>'Equipment Combat'!E338</f>
        <v>Trained</v>
      </c>
      <c r="R7" s="1320"/>
      <c r="S7" s="1320" t="s">
        <v>499</v>
      </c>
      <c r="T7" s="1320">
        <f>'Equipment Combat'!E335+'Equipment Combat'!E336</f>
        <v>3</v>
      </c>
      <c r="U7" s="775" t="s">
        <v>499</v>
      </c>
      <c r="V7" s="776">
        <f>'Equipment Combat'!E339</f>
        <v>0</v>
      </c>
      <c r="W7" s="1398" t="str">
        <f>Skills!A139</f>
        <v>Martial weapons</v>
      </c>
      <c r="X7" s="737"/>
      <c r="Y7" s="1399"/>
      <c r="Z7" s="1399"/>
      <c r="AA7" s="737" t="str">
        <f>Skills!E139</f>
        <v>Expert</v>
      </c>
      <c r="AB7" s="1343"/>
      <c r="AC7" s="637"/>
    </row>
    <row r="8" spans="1:29" ht="19.5" customHeight="1" x14ac:dyDescent="0.3">
      <c r="A8" s="643"/>
      <c r="B8" s="1391" t="s">
        <v>13</v>
      </c>
      <c r="C8" s="1392">
        <f>Stats!E6</f>
        <v>14</v>
      </c>
      <c r="D8" s="1392">
        <f>Stats!E15</f>
        <v>2</v>
      </c>
      <c r="E8" s="1393" t="s">
        <v>14</v>
      </c>
      <c r="F8" s="1392">
        <f>Stats!E7</f>
        <v>8</v>
      </c>
      <c r="G8" s="1394">
        <f>Stats!E16</f>
        <v>-1</v>
      </c>
      <c r="H8" s="490"/>
      <c r="I8" s="640" t="s">
        <v>84</v>
      </c>
      <c r="J8" s="490"/>
      <c r="K8" s="490"/>
      <c r="L8" s="490"/>
      <c r="M8" s="489" t="s">
        <v>324</v>
      </c>
      <c r="N8" s="490"/>
      <c r="O8" s="490"/>
      <c r="P8" s="490"/>
      <c r="Q8" s="489" t="s">
        <v>79</v>
      </c>
      <c r="R8" s="490"/>
      <c r="S8" s="1207" t="s">
        <v>979</v>
      </c>
      <c r="T8" s="1189"/>
      <c r="U8" s="490"/>
      <c r="V8" s="490"/>
      <c r="W8" s="1398" t="str">
        <f>Skills!A141</f>
        <v>Advanced weapons</v>
      </c>
      <c r="X8" s="737"/>
      <c r="Y8" s="1399"/>
      <c r="Z8" s="1399"/>
      <c r="AA8" s="737" t="str">
        <f>Skills!E141</f>
        <v>Untrained</v>
      </c>
      <c r="AB8" s="1343"/>
      <c r="AC8" s="637"/>
    </row>
    <row r="9" spans="1:29" ht="19.5" customHeight="1" x14ac:dyDescent="0.25">
      <c r="A9" s="643"/>
      <c r="B9" s="490"/>
      <c r="C9" s="490"/>
      <c r="D9" s="490"/>
      <c r="E9" s="490"/>
      <c r="F9" s="490"/>
      <c r="G9" s="490"/>
      <c r="H9" s="490"/>
      <c r="I9" s="781">
        <f>Skills!E37</f>
        <v>21</v>
      </c>
      <c r="J9" s="1551" t="s">
        <v>498</v>
      </c>
      <c r="K9" s="1551"/>
      <c r="L9" s="777">
        <f>Skills!E206</f>
        <v>7</v>
      </c>
      <c r="M9" s="778" t="str">
        <f>Skills!E163</f>
        <v>Trained</v>
      </c>
      <c r="N9" s="779"/>
      <c r="O9" s="777" t="s">
        <v>499</v>
      </c>
      <c r="P9" s="777">
        <f>Skills!E70</f>
        <v>4</v>
      </c>
      <c r="Q9" s="780" t="str">
        <f>Skills!E71</f>
        <v>STR</v>
      </c>
      <c r="R9" s="490"/>
      <c r="S9" s="1562">
        <f>'Status courant'!E6</f>
        <v>1</v>
      </c>
      <c r="T9" s="1563"/>
      <c r="U9" s="1564"/>
      <c r="V9" s="490"/>
      <c r="W9" s="1398" t="str">
        <f>Skills!A143</f>
        <v>Alchemical bombs</v>
      </c>
      <c r="X9" s="737"/>
      <c r="Y9" s="1399"/>
      <c r="Z9" s="1399"/>
      <c r="AA9" s="737" t="str">
        <f>Skills!E143</f>
        <v>Untrained</v>
      </c>
      <c r="AB9" s="1343"/>
      <c r="AC9" s="637"/>
    </row>
    <row r="10" spans="1:29" ht="19.5" customHeight="1" x14ac:dyDescent="0.3">
      <c r="A10" s="643"/>
      <c r="B10" s="640" t="s">
        <v>500</v>
      </c>
      <c r="C10" s="640"/>
      <c r="D10" s="490"/>
      <c r="E10" s="490"/>
      <c r="F10" s="490"/>
      <c r="G10" s="490"/>
      <c r="H10" s="490"/>
      <c r="I10" s="490"/>
      <c r="J10" s="490"/>
      <c r="K10" s="489"/>
      <c r="L10" s="490"/>
      <c r="M10" s="490"/>
      <c r="N10" s="490"/>
      <c r="O10" s="490"/>
      <c r="P10" s="490"/>
      <c r="Q10" s="490"/>
      <c r="R10" s="490"/>
      <c r="S10" s="490"/>
      <c r="T10" s="490"/>
      <c r="U10" s="490"/>
      <c r="V10" s="490"/>
      <c r="W10" s="1398" t="str">
        <f>Skills!A145</f>
        <v>Unarmed attacks</v>
      </c>
      <c r="X10" s="737"/>
      <c r="Y10" s="1399"/>
      <c r="Z10" s="1399"/>
      <c r="AA10" s="737" t="str">
        <f>Skills!E145</f>
        <v>Expert</v>
      </c>
      <c r="AB10" s="1343"/>
      <c r="AC10" s="637"/>
    </row>
    <row r="11" spans="1:29" ht="19.5" customHeight="1" x14ac:dyDescent="0.25">
      <c r="A11" s="643"/>
      <c r="B11" s="490"/>
      <c r="C11" s="489" t="s">
        <v>7</v>
      </c>
      <c r="D11" s="489"/>
      <c r="E11" s="489" t="s">
        <v>79</v>
      </c>
      <c r="F11" s="489"/>
      <c r="G11" s="489"/>
      <c r="H11" s="489" t="s">
        <v>324</v>
      </c>
      <c r="I11" s="489"/>
      <c r="J11" s="489"/>
      <c r="K11" s="489" t="s">
        <v>342</v>
      </c>
      <c r="L11" s="490"/>
      <c r="M11" s="490"/>
      <c r="N11" s="490"/>
      <c r="O11" s="490"/>
      <c r="P11" s="490"/>
      <c r="Q11" s="498" t="s">
        <v>648</v>
      </c>
      <c r="R11" s="490"/>
      <c r="S11" s="490"/>
      <c r="T11" s="490"/>
      <c r="U11" s="490"/>
      <c r="V11" s="490"/>
      <c r="W11" s="1398" t="str">
        <f>IF(Skills!E$148="",Skills!A$147,Skills!E$148)</f>
        <v>Clan dagger, dwarven war axe</v>
      </c>
      <c r="X11" s="737"/>
      <c r="Y11" s="1399"/>
      <c r="Z11" s="1399"/>
      <c r="AA11" s="737" t="str">
        <f>Skills!E147</f>
        <v>Expert</v>
      </c>
      <c r="AB11" s="1343"/>
      <c r="AC11" s="637"/>
    </row>
    <row r="12" spans="1:29" ht="19.5" customHeight="1" x14ac:dyDescent="0.3">
      <c r="A12" s="643"/>
      <c r="B12" s="1368" t="s">
        <v>501</v>
      </c>
      <c r="C12" s="1369">
        <f>Skills!E4</f>
        <v>12</v>
      </c>
      <c r="D12" s="1370" t="s">
        <v>502</v>
      </c>
      <c r="E12" s="1371">
        <f>Skills!E45</f>
        <v>3</v>
      </c>
      <c r="F12" s="1370" t="s">
        <v>499</v>
      </c>
      <c r="G12" s="1371">
        <f>Skills!E172</f>
        <v>9</v>
      </c>
      <c r="H12" s="1372" t="str">
        <f>Skills!E78</f>
        <v>Expert</v>
      </c>
      <c r="I12" s="1372"/>
      <c r="J12" s="1370" t="s">
        <v>499</v>
      </c>
      <c r="K12" s="1373"/>
      <c r="L12" s="490"/>
      <c r="M12" s="640" t="s">
        <v>206</v>
      </c>
      <c r="N12" s="490"/>
      <c r="O12" s="490"/>
      <c r="P12" s="490"/>
      <c r="Q12" s="1384" t="s">
        <v>504</v>
      </c>
      <c r="R12" s="1402"/>
      <c r="S12" s="1407">
        <f>C15</f>
        <v>11</v>
      </c>
      <c r="T12" s="490"/>
      <c r="U12" s="490"/>
      <c r="V12" s="490"/>
      <c r="W12" s="1398" t="str">
        <f>IF(Skills!E$150="","",Skills!E$151)</f>
        <v/>
      </c>
      <c r="X12" s="737"/>
      <c r="Y12" s="1399"/>
      <c r="Z12" s="1399"/>
      <c r="AA12" s="737" t="str">
        <f>IF(Skills!E$150="","",Skills!E$150)</f>
        <v/>
      </c>
      <c r="AB12" s="1343"/>
      <c r="AC12" s="637"/>
    </row>
    <row r="13" spans="1:29" ht="19.5" customHeight="1" x14ac:dyDescent="0.25">
      <c r="A13" s="643"/>
      <c r="B13" s="1368" t="s">
        <v>528</v>
      </c>
      <c r="C13" s="1374">
        <f>Skills!E5</f>
        <v>10</v>
      </c>
      <c r="D13" s="1375" t="s">
        <v>502</v>
      </c>
      <c r="E13" s="1376">
        <f>Skills!E46</f>
        <v>3</v>
      </c>
      <c r="F13" s="1375" t="s">
        <v>499</v>
      </c>
      <c r="G13" s="1376">
        <f>Skills!E173</f>
        <v>7</v>
      </c>
      <c r="H13" s="1377" t="str">
        <f>Skills!E80</f>
        <v>Trained</v>
      </c>
      <c r="I13" s="1377"/>
      <c r="J13" s="1375" t="s">
        <v>499</v>
      </c>
      <c r="K13" s="1378"/>
      <c r="L13" s="490"/>
      <c r="M13" s="721" t="str">
        <f>Skills!E309&amp;"'"</f>
        <v>25'</v>
      </c>
      <c r="N13" s="490"/>
      <c r="O13" s="490"/>
      <c r="P13" s="490"/>
      <c r="Q13" s="1403" t="s">
        <v>23</v>
      </c>
      <c r="R13" s="1404"/>
      <c r="S13" s="1408">
        <f>R29</f>
        <v>10</v>
      </c>
      <c r="T13" s="490"/>
      <c r="U13" s="490"/>
      <c r="V13" s="490"/>
      <c r="W13" s="1398" t="str">
        <f>Skills!A154</f>
        <v>Light armor</v>
      </c>
      <c r="X13" s="737"/>
      <c r="Y13" s="1399"/>
      <c r="Z13" s="1399"/>
      <c r="AA13" s="737" t="str">
        <f>Skills!E154</f>
        <v>Trained</v>
      </c>
      <c r="AB13" s="1343"/>
      <c r="AC13" s="637"/>
    </row>
    <row r="14" spans="1:29" ht="19.5" customHeight="1" x14ac:dyDescent="0.3">
      <c r="A14" s="643"/>
      <c r="B14" s="1368" t="s">
        <v>503</v>
      </c>
      <c r="C14" s="1374">
        <f>Skills!E6</f>
        <v>11</v>
      </c>
      <c r="D14" s="1375" t="s">
        <v>502</v>
      </c>
      <c r="E14" s="1376">
        <f>Skills!E47</f>
        <v>2</v>
      </c>
      <c r="F14" s="1375" t="s">
        <v>499</v>
      </c>
      <c r="G14" s="1376">
        <f>Skills!E174</f>
        <v>9</v>
      </c>
      <c r="H14" s="1377" t="str">
        <f>Skills!E82</f>
        <v>Expert</v>
      </c>
      <c r="I14" s="1377"/>
      <c r="J14" s="1375" t="s">
        <v>499</v>
      </c>
      <c r="K14" s="1378"/>
      <c r="L14" s="490"/>
      <c r="M14" s="490"/>
      <c r="N14" s="644"/>
      <c r="O14" s="644"/>
      <c r="P14" s="490"/>
      <c r="Q14" s="1403" t="s">
        <v>54</v>
      </c>
      <c r="R14" s="1404"/>
      <c r="S14" s="1408">
        <f>D30</f>
        <v>-1</v>
      </c>
      <c r="T14" s="490"/>
      <c r="U14" s="454"/>
      <c r="V14" s="454"/>
      <c r="W14" s="1398" t="str">
        <f>Skills!A156</f>
        <v>Medium armor</v>
      </c>
      <c r="X14" s="737"/>
      <c r="Y14" s="737"/>
      <c r="Z14" s="737"/>
      <c r="AA14" s="737" t="str">
        <f>Skills!E156</f>
        <v>Trained</v>
      </c>
      <c r="AB14" s="1343"/>
      <c r="AC14" s="637"/>
    </row>
    <row r="15" spans="1:29" ht="19.5" customHeight="1" x14ac:dyDescent="0.3">
      <c r="A15" s="643"/>
      <c r="B15" s="1368" t="s">
        <v>504</v>
      </c>
      <c r="C15" s="1379">
        <f>Skills!E2</f>
        <v>11</v>
      </c>
      <c r="D15" s="1380" t="s">
        <v>502</v>
      </c>
      <c r="E15" s="1381">
        <f>Skills!E42</f>
        <v>2</v>
      </c>
      <c r="F15" s="1380" t="s">
        <v>499</v>
      </c>
      <c r="G15" s="1381">
        <f>Skills!E171</f>
        <v>9</v>
      </c>
      <c r="H15" s="1382" t="str">
        <f>Skills!E75</f>
        <v>Expert</v>
      </c>
      <c r="I15" s="1382"/>
      <c r="J15" s="1380" t="s">
        <v>499</v>
      </c>
      <c r="K15" s="1383"/>
      <c r="L15" s="498" t="str">
        <f>CONCATENATE(" &lt;&lt; ",Feats!E6)</f>
        <v xml:space="preserve"> &lt;&lt; Darkvision</v>
      </c>
      <c r="M15" s="644"/>
      <c r="N15" s="644"/>
      <c r="O15" s="644"/>
      <c r="P15" s="490"/>
      <c r="Q15" s="1405" t="s">
        <v>21</v>
      </c>
      <c r="R15" s="1406"/>
      <c r="S15" s="1409">
        <f>D31</f>
        <v>-1</v>
      </c>
      <c r="T15" s="454"/>
      <c r="U15" s="454"/>
      <c r="V15" s="454"/>
      <c r="W15" s="1398" t="str">
        <f>Skills!A158</f>
        <v>Heavy armor</v>
      </c>
      <c r="X15" s="737"/>
      <c r="Y15" s="737"/>
      <c r="Z15" s="737"/>
      <c r="AA15" s="737" t="str">
        <f>Skills!E158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Skills!E163</f>
        <v>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s="627" customFormat="1" ht="19.5" customHeight="1" x14ac:dyDescent="0.25">
      <c r="A18" s="643"/>
      <c r="B18" s="764" t="str">
        <f>'Equipment Combat'!E349</f>
        <v>Dwarven War Axe</v>
      </c>
      <c r="C18" s="765"/>
      <c r="D18" s="765"/>
      <c r="E18" s="1559" t="str">
        <f>'Equipment Combat'!E364</f>
        <v>13/8/3</v>
      </c>
      <c r="F18" s="1559"/>
      <c r="G18" s="748" t="str">
        <f>"= "&amp;'Equipment Combat'!E367</f>
        <v>= 4</v>
      </c>
      <c r="H18" s="747" t="str">
        <f>'Equipment Combat'!E365</f>
        <v>STR</v>
      </c>
      <c r="I18" s="747"/>
      <c r="J18" s="748" t="str">
        <f>"+ "&amp;'Equipment Combat'!E368</f>
        <v>+ 9</v>
      </c>
      <c r="K18" s="747" t="str">
        <f>'Equipment Combat'!E366</f>
        <v>Expert</v>
      </c>
      <c r="L18" s="747"/>
      <c r="M18" s="1350">
        <f>'Equipment Combat'!E369</f>
        <v>0</v>
      </c>
      <c r="N18" s="457" t="s">
        <v>505</v>
      </c>
      <c r="O18" s="1560" t="str">
        <f>CONCATENATE('Equipment Combat'!E375,'Equipment Combat'!E357)</f>
        <v>1d8</v>
      </c>
      <c r="P18" s="1561"/>
      <c r="Q18" s="1321" t="str">
        <f>"+"&amp;'Equipment Combat'!E374</f>
        <v>+4</v>
      </c>
      <c r="R18" s="752" t="str">
        <f>'Equipment Combat'!E373</f>
        <v>STR</v>
      </c>
      <c r="S18" s="1351" t="str">
        <f>'Equipment Combat'!E358</f>
        <v>Slashing</v>
      </c>
      <c r="T18" s="1352" t="str">
        <f>'Equipment Combat'!E363</f>
        <v>Axe</v>
      </c>
      <c r="U18" s="1353"/>
      <c r="V18" s="1352" t="str">
        <f>'Equipment Combat'!E351&amp;IF('Equipment Combat'!E352="-","",", "&amp;'Equipment Combat'!E352)&amp;IF('Equipment Combat'!E353="-","",", "&amp;'Equipment Combat'!E353)&amp;IF('Equipment Combat'!E354="-","",", "&amp;'Equipment Combat'!E354)&amp;IF('Equipment Combat'!E355="-","",", "&amp;'Equipment Combat'!E355)&amp;IF('Equipment Combat'!E360="-","",", "&amp;'Equipment Combat'!E360)&amp;IF('Equipment Combat'!E361="-","",", "&amp;'Equipment Combat'!E361)</f>
        <v>Specific 1, Dwarf, Sweep, Two-Hand 1d12, Uncommon</v>
      </c>
      <c r="W18" s="1354"/>
      <c r="X18" s="1354"/>
      <c r="Y18" s="1354"/>
      <c r="Z18" s="1354"/>
      <c r="AA18" s="1354"/>
      <c r="AB18" s="1353"/>
      <c r="AC18" s="637"/>
    </row>
    <row r="19" spans="1:29" s="627" customFormat="1" ht="19.5" customHeight="1" x14ac:dyDescent="0.25">
      <c r="A19" s="643"/>
      <c r="B19" s="766" t="str">
        <f>'Equipment Combat'!E376</f>
        <v>Clan Dagger</v>
      </c>
      <c r="C19" s="767"/>
      <c r="D19" s="767"/>
      <c r="E19" s="1534" t="str">
        <f>'Equipment Combat'!E391</f>
        <v>13/9/5</v>
      </c>
      <c r="F19" s="1534"/>
      <c r="G19" s="750" t="str">
        <f>"= "&amp;'Equipment Combat'!E394</f>
        <v>= 4</v>
      </c>
      <c r="H19" s="749" t="str">
        <f>'Equipment Combat'!E392</f>
        <v>STR</v>
      </c>
      <c r="I19" s="749"/>
      <c r="J19" s="750" t="str">
        <f>"+ "&amp;'Equipment Combat'!E395</f>
        <v>+ 9</v>
      </c>
      <c r="K19" s="749" t="str">
        <f>'Equipment Combat'!E393</f>
        <v>Expert</v>
      </c>
      <c r="L19" s="749"/>
      <c r="M19" s="1355">
        <f>'Equipment Combat'!E396</f>
        <v>0</v>
      </c>
      <c r="N19" s="457" t="s">
        <v>505</v>
      </c>
      <c r="O19" s="1540" t="str">
        <f>CONCATENATE('Equipment Combat'!E402,'Equipment Combat'!E384)</f>
        <v>1d4</v>
      </c>
      <c r="P19" s="1541"/>
      <c r="Q19" s="1318" t="str">
        <f>"+"&amp;'Equipment Combat'!E401</f>
        <v>+4</v>
      </c>
      <c r="R19" s="753" t="str">
        <f>'Equipment Combat'!E400</f>
        <v>STR</v>
      </c>
      <c r="S19" s="1356" t="str">
        <f>'Equipment Combat'!E385</f>
        <v>Piercing</v>
      </c>
      <c r="T19" s="1357" t="str">
        <f>'Equipment Combat'!E390</f>
        <v>Knife</v>
      </c>
      <c r="U19" s="1358"/>
      <c r="V19" s="1357" t="str">
        <f>'Equipment Combat'!E378&amp;IF('Equipment Combat'!E379="-","",", "&amp;'Equipment Combat'!E379)&amp;IF('Equipment Combat'!E380="-","",", "&amp;'Equipment Combat'!E380)&amp;IF('Equipment Combat'!E381="-","",", "&amp;'Equipment Combat'!E381)&amp;IF('Equipment Combat'!E382="-","",", "&amp;'Equipment Combat'!E382)&amp;IF('Equipment Combat'!E387="-","",", "&amp;'Equipment Combat'!E387)&amp;IF('Equipment Combat'!E388="-","",", "&amp;'Equipment Combat'!E388)</f>
        <v>Simple, Agile, Dwarf, Parry, Versatile B</v>
      </c>
      <c r="W19" s="1359"/>
      <c r="X19" s="1359"/>
      <c r="Y19" s="1359"/>
      <c r="Z19" s="1359"/>
      <c r="AA19" s="1359"/>
      <c r="AB19" s="1358"/>
      <c r="AC19" s="637"/>
    </row>
    <row r="20" spans="1:29" s="627" customFormat="1" ht="19.5" customHeight="1" x14ac:dyDescent="0.25">
      <c r="A20" s="643"/>
      <c r="B20" s="766" t="str">
        <f>'Equipment Combat'!E403</f>
        <v>Javelin</v>
      </c>
      <c r="C20" s="767"/>
      <c r="D20" s="767"/>
      <c r="E20" s="1534" t="str">
        <f>'Equipment Combat'!E418</f>
        <v>12/7/2</v>
      </c>
      <c r="F20" s="1534"/>
      <c r="G20" s="750" t="str">
        <f>"= "&amp;'Equipment Combat'!E421</f>
        <v>= 3</v>
      </c>
      <c r="H20" s="749" t="str">
        <f>'Equipment Combat'!E419</f>
        <v>DEX</v>
      </c>
      <c r="I20" s="749"/>
      <c r="J20" s="750" t="str">
        <f>"+ "&amp;'Equipment Combat'!E422</f>
        <v>+ 9</v>
      </c>
      <c r="K20" s="749" t="str">
        <f>'Equipment Combat'!E420</f>
        <v>Expert</v>
      </c>
      <c r="L20" s="749"/>
      <c r="M20" s="1355">
        <f>'Equipment Combat'!E423</f>
        <v>0</v>
      </c>
      <c r="N20" s="457" t="s">
        <v>505</v>
      </c>
      <c r="O20" s="1540" t="str">
        <f>CONCATENATE('Equipment Combat'!E429,'Equipment Combat'!E411)</f>
        <v>1d6</v>
      </c>
      <c r="P20" s="1541"/>
      <c r="Q20" s="1318" t="str">
        <f>"+"&amp;'Equipment Combat'!E428</f>
        <v>+4</v>
      </c>
      <c r="R20" s="753" t="str">
        <f>'Equipment Combat'!E427</f>
        <v>STR</v>
      </c>
      <c r="S20" s="1356" t="str">
        <f>'Equipment Combat'!E412</f>
        <v>Piercing</v>
      </c>
      <c r="T20" s="1357" t="str">
        <f>'Equipment Combat'!E417</f>
        <v>Dart</v>
      </c>
      <c r="U20" s="1358"/>
      <c r="V20" s="1357" t="str">
        <f>'Equipment Combat'!E405&amp;IF('Equipment Combat'!E406="-","",", "&amp;'Equipment Combat'!E406)&amp;IF('Equipment Combat'!E407="-","",", "&amp;'Equipment Combat'!E407)&amp;IF('Equipment Combat'!E408="-","",", "&amp;'Equipment Combat'!E408)&amp;IF('Equipment Combat'!E409="-","",", "&amp;'Equipment Combat'!E409)&amp;IF('Equipment Combat'!E414="-","",", "&amp;'Equipment Combat'!E414)&amp;IF('Equipment Combat'!E415="-","",", "&amp;'Equipment Combat'!E415)</f>
        <v>Simple, Thrown, 30'</v>
      </c>
      <c r="W20" s="1359"/>
      <c r="X20" s="1359"/>
      <c r="Y20" s="1359"/>
      <c r="Z20" s="1359"/>
      <c r="AA20" s="1359"/>
      <c r="AB20" s="1358"/>
      <c r="AC20" s="637"/>
    </row>
    <row r="21" spans="1:29" s="627" customFormat="1" ht="19.5" customHeight="1" x14ac:dyDescent="0.25">
      <c r="A21" s="643"/>
      <c r="B21" s="766" t="str">
        <f>'Equipment Combat'!E430</f>
        <v>Fist</v>
      </c>
      <c r="C21" s="767"/>
      <c r="D21" s="767"/>
      <c r="E21" s="1534" t="str">
        <f>'Equipment Combat'!E445</f>
        <v>13/9/5</v>
      </c>
      <c r="F21" s="1534"/>
      <c r="G21" s="750" t="str">
        <f>"= "&amp;'Equipment Combat'!E448</f>
        <v>= 4</v>
      </c>
      <c r="H21" s="749" t="str">
        <f>'Equipment Combat'!E446</f>
        <v>STR/DEX</v>
      </c>
      <c r="I21" s="749"/>
      <c r="J21" s="750" t="str">
        <f>"+ "&amp;'Equipment Combat'!E449</f>
        <v>+ 9</v>
      </c>
      <c r="K21" s="749" t="str">
        <f>'Equipment Combat'!E447</f>
        <v>Expert</v>
      </c>
      <c r="L21" s="749"/>
      <c r="M21" s="1355">
        <f>'Equipment Combat'!E450</f>
        <v>0</v>
      </c>
      <c r="N21" s="457" t="s">
        <v>505</v>
      </c>
      <c r="O21" s="1540" t="str">
        <f>CONCATENATE('Equipment Combat'!E456,'Equipment Combat'!E438)</f>
        <v>1d4</v>
      </c>
      <c r="P21" s="1541"/>
      <c r="Q21" s="1318" t="str">
        <f>"+"&amp;'Equipment Combat'!E455</f>
        <v>+4</v>
      </c>
      <c r="R21" s="753" t="str">
        <f>'Equipment Combat'!E454</f>
        <v>STR</v>
      </c>
      <c r="S21" s="1356" t="str">
        <f>'Equipment Combat'!E439</f>
        <v>Bludgeoning</v>
      </c>
      <c r="T21" s="1357" t="str">
        <f>'Equipment Combat'!E444</f>
        <v>Brawling</v>
      </c>
      <c r="U21" s="1358"/>
      <c r="V21" s="1357" t="str">
        <f>'Equipment Combat'!E432&amp;IF('Equipment Combat'!E433="-","",", "&amp;'Equipment Combat'!E433)&amp;IF('Equipment Combat'!E434="-","",", "&amp;'Equipment Combat'!E434)&amp;IF('Equipment Combat'!E435="-","",", "&amp;'Equipment Combat'!E435)&amp;IF('Equipment Combat'!E436="-","",", "&amp;'Equipment Combat'!E436)&amp;IF('Equipment Combat'!E441="-","",", "&amp;'Equipment Combat'!E441)&amp;IF('Equipment Combat'!E442="-","",", "&amp;'Equipment Combat'!E442)</f>
        <v>Unarmed, Agile, Finesse, Nonlethal</v>
      </c>
      <c r="W21" s="1359"/>
      <c r="X21" s="1359"/>
      <c r="Y21" s="1359"/>
      <c r="Z21" s="1359"/>
      <c r="AA21" s="1359"/>
      <c r="AB21" s="1358"/>
      <c r="AC21" s="637"/>
    </row>
    <row r="22" spans="1:29" s="627" customFormat="1" ht="19.5" customHeight="1" x14ac:dyDescent="0.25">
      <c r="A22" s="643"/>
      <c r="B22" s="766" t="str">
        <f>'Equipment Combat'!E457</f>
        <v>+1 Halberd</v>
      </c>
      <c r="C22" s="767"/>
      <c r="D22" s="767"/>
      <c r="E22" s="1534" t="str">
        <f>'Equipment Combat'!E472</f>
        <v>14/9/4</v>
      </c>
      <c r="F22" s="1534"/>
      <c r="G22" s="750" t="str">
        <f>"= "&amp;'Equipment Combat'!E475</f>
        <v>= 4</v>
      </c>
      <c r="H22" s="749" t="str">
        <f>'Equipment Combat'!E473</f>
        <v>STR</v>
      </c>
      <c r="I22" s="749"/>
      <c r="J22" s="750" t="str">
        <f>"+ "&amp;'Equipment Combat'!E476</f>
        <v>+ 9</v>
      </c>
      <c r="K22" s="749" t="str">
        <f>'Equipment Combat'!E474</f>
        <v>Expert</v>
      </c>
      <c r="L22" s="749"/>
      <c r="M22" s="1355">
        <f>'Equipment Combat'!E477</f>
        <v>1</v>
      </c>
      <c r="N22" s="457" t="s">
        <v>505</v>
      </c>
      <c r="O22" s="1540" t="str">
        <f>CONCATENATE('Equipment Combat'!E483,'Equipment Combat'!E465)</f>
        <v>1d10</v>
      </c>
      <c r="P22" s="1541"/>
      <c r="Q22" s="1318" t="str">
        <f>"+"&amp;'Equipment Combat'!E482</f>
        <v>+4</v>
      </c>
      <c r="R22" s="753" t="str">
        <f>'Equipment Combat'!E481</f>
        <v>STR</v>
      </c>
      <c r="S22" s="1356" t="str">
        <f>'Equipment Combat'!E466</f>
        <v>Piercing</v>
      </c>
      <c r="T22" s="1357" t="str">
        <f>'Equipment Combat'!E471</f>
        <v>Polearm</v>
      </c>
      <c r="U22" s="1358"/>
      <c r="V22" s="1357" t="str">
        <f>'Equipment Combat'!E459&amp;IF('Equipment Combat'!E460="-","",", "&amp;'Equipment Combat'!E460)&amp;IF('Equipment Combat'!E461="-","",", "&amp;'Equipment Combat'!E461)&amp;IF('Equipment Combat'!E462="-","",", "&amp;'Equipment Combat'!E462)&amp;IF('Equipment Combat'!E463="-","",", "&amp;'Equipment Combat'!E463)&amp;IF('Equipment Combat'!E468="-","",", "&amp;'Equipment Combat'!E468)&amp;IF('Equipment Combat'!E469="-","",", "&amp;'Equipment Combat'!E469)</f>
        <v>Martial, Reach, Versatile S</v>
      </c>
      <c r="W22" s="1359"/>
      <c r="X22" s="1359"/>
      <c r="Y22" s="1359"/>
      <c r="Z22" s="1359"/>
      <c r="AA22" s="1359"/>
      <c r="AB22" s="1358"/>
      <c r="AC22" s="637"/>
    </row>
    <row r="23" spans="1:29" s="627" customFormat="1" ht="19.5" customHeight="1" x14ac:dyDescent="0.25">
      <c r="A23" s="643"/>
      <c r="B23" s="1360" t="str">
        <f>'Equipment Combat'!E484</f>
        <v>Dwarven War Axe (2H)</v>
      </c>
      <c r="C23" s="1361"/>
      <c r="D23" s="1361"/>
      <c r="E23" s="1535" t="str">
        <f>'Equipment Combat'!E499</f>
        <v>13/8/3</v>
      </c>
      <c r="F23" s="1535"/>
      <c r="G23" s="751" t="str">
        <f>"= "&amp;'Equipment Combat'!E502</f>
        <v>= 4</v>
      </c>
      <c r="H23" s="1362" t="str">
        <f>'Equipment Combat'!E500</f>
        <v>STR</v>
      </c>
      <c r="I23" s="918"/>
      <c r="J23" s="751" t="str">
        <f>"+ "&amp;'Equipment Combat'!E503</f>
        <v>+ 9</v>
      </c>
      <c r="K23" s="918" t="str">
        <f>'Equipment Combat'!E501</f>
        <v>Expert</v>
      </c>
      <c r="L23" s="918"/>
      <c r="M23" s="1363">
        <f>'Equipment Combat'!E504</f>
        <v>0</v>
      </c>
      <c r="N23" s="457" t="s">
        <v>505</v>
      </c>
      <c r="O23" s="1542" t="str">
        <f>CONCATENATE('Equipment Combat'!E510,'Equipment Combat'!E492)</f>
        <v>1d12</v>
      </c>
      <c r="P23" s="1543"/>
      <c r="Q23" s="1319" t="str">
        <f>"+"&amp;'Equipment Combat'!E509</f>
        <v>+4</v>
      </c>
      <c r="R23" s="917" t="str">
        <f>'Equipment Combat'!E508</f>
        <v>STR</v>
      </c>
      <c r="S23" s="1364" t="str">
        <f>'Equipment Combat'!E493</f>
        <v>Slashing</v>
      </c>
      <c r="T23" s="1365" t="str">
        <f>'Equipment Combat'!E498</f>
        <v>Axe</v>
      </c>
      <c r="U23" s="1366"/>
      <c r="V23" s="1365" t="str">
        <f>'Equipment Combat'!E486&amp;IF('Equipment Combat'!E487="-","",", "&amp;'Equipment Combat'!E487)&amp;IF('Equipment Combat'!E488="-","",", "&amp;'Equipment Combat'!E488)&amp;IF('Equipment Combat'!E489="-","",", "&amp;'Equipment Combat'!E489)&amp;IF('Equipment Combat'!E490="-","",", "&amp;'Equipment Combat'!E490)&amp;IF('Equipment Combat'!E495="-","",", "&amp;'Equipment Combat'!E495)&amp;IF('Equipment Combat'!E496="-","",", "&amp;'Equipment Combat'!E496)</f>
        <v>Specific 1, Dwarf, Sweep, Two-Hand 1d12, Uncommon</v>
      </c>
      <c r="W23" s="1367"/>
      <c r="X23" s="1367"/>
      <c r="Y23" s="1367"/>
      <c r="Z23" s="1367"/>
      <c r="AA23" s="1367"/>
      <c r="AB23" s="1366"/>
      <c r="AC23" s="637"/>
    </row>
    <row r="24" spans="1:29" s="450" customFormat="1" ht="19.5" customHeight="1" x14ac:dyDescent="0.3">
      <c r="A24" s="648"/>
      <c r="B24" s="640" t="s">
        <v>19</v>
      </c>
      <c r="C24" s="640"/>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490"/>
      <c r="P25" s="490"/>
      <c r="Q25" s="490"/>
      <c r="R25" s="489" t="s">
        <v>7</v>
      </c>
      <c r="S25" s="490"/>
      <c r="T25" s="489" t="s">
        <v>79</v>
      </c>
      <c r="U25" s="490"/>
      <c r="V25" s="490"/>
      <c r="W25" s="489" t="s">
        <v>324</v>
      </c>
      <c r="X25" s="490"/>
      <c r="Y25" s="490"/>
      <c r="Z25" s="489" t="s">
        <v>342</v>
      </c>
      <c r="AA25" s="490"/>
      <c r="AB25" s="489" t="s">
        <v>301</v>
      </c>
      <c r="AC25" s="637"/>
    </row>
    <row r="26" spans="1:29" ht="19.5" customHeight="1" x14ac:dyDescent="0.25">
      <c r="A26" s="643"/>
      <c r="B26" s="754" t="s">
        <v>20</v>
      </c>
      <c r="C26" s="755"/>
      <c r="D26" s="756">
        <f>Skills!E8</f>
        <v>12</v>
      </c>
      <c r="E26" s="732" t="s">
        <v>502</v>
      </c>
      <c r="F26" s="733">
        <f>Skills!E49</f>
        <v>3</v>
      </c>
      <c r="G26" s="733" t="s">
        <v>499</v>
      </c>
      <c r="H26" s="1339">
        <f>Skills!E175</f>
        <v>9</v>
      </c>
      <c r="I26" s="731" t="str">
        <f>Skills!E96</f>
        <v>Expert</v>
      </c>
      <c r="J26" s="731"/>
      <c r="K26" s="734" t="s">
        <v>499</v>
      </c>
      <c r="L26" s="734"/>
      <c r="M26" s="734" t="s">
        <v>499</v>
      </c>
      <c r="N26" s="735">
        <f>Skills!E277</f>
        <v>0</v>
      </c>
      <c r="O26" s="754" t="s">
        <v>60</v>
      </c>
      <c r="P26" s="755"/>
      <c r="Q26" s="1340"/>
      <c r="R26" s="756">
        <f>Skills!E25</f>
        <v>-1</v>
      </c>
      <c r="S26" s="732" t="s">
        <v>502</v>
      </c>
      <c r="T26" s="733">
        <f>Skills!E63</f>
        <v>-1</v>
      </c>
      <c r="U26" s="733" t="s">
        <v>499</v>
      </c>
      <c r="V26" s="733">
        <f>Skills!E189</f>
        <v>0</v>
      </c>
      <c r="W26" s="731" t="str">
        <f>Skills!E124</f>
        <v>Untrained</v>
      </c>
      <c r="X26" s="731"/>
      <c r="Y26" s="734" t="s">
        <v>499</v>
      </c>
      <c r="Z26" s="734"/>
      <c r="AA26" s="734" t="s">
        <v>499</v>
      </c>
      <c r="AB26" s="736"/>
      <c r="AC26" s="637"/>
    </row>
    <row r="27" spans="1:29" ht="19.5" customHeight="1" x14ac:dyDescent="0.25">
      <c r="A27" s="643"/>
      <c r="B27" s="757" t="s">
        <v>51</v>
      </c>
      <c r="C27" s="758"/>
      <c r="D27" s="759">
        <f>Skills!E9</f>
        <v>1</v>
      </c>
      <c r="E27" s="738" t="s">
        <v>502</v>
      </c>
      <c r="F27" s="739">
        <f>Skills!E50</f>
        <v>1</v>
      </c>
      <c r="G27" s="739" t="s">
        <v>499</v>
      </c>
      <c r="H27" s="1341">
        <f>Skills!E176</f>
        <v>0</v>
      </c>
      <c r="I27" s="737" t="str">
        <f>Skills!E98</f>
        <v>Untrained</v>
      </c>
      <c r="J27" s="737"/>
      <c r="K27" s="740" t="s">
        <v>499</v>
      </c>
      <c r="L27" s="740"/>
      <c r="M27" s="740" t="s">
        <v>499</v>
      </c>
      <c r="N27" s="741"/>
      <c r="O27" s="757" t="s">
        <v>61</v>
      </c>
      <c r="P27" s="758"/>
      <c r="Q27" s="1342"/>
      <c r="R27" s="759">
        <f>Skills!E26</f>
        <v>2</v>
      </c>
      <c r="S27" s="738" t="s">
        <v>502</v>
      </c>
      <c r="T27" s="739">
        <f>Skills!E64</f>
        <v>2</v>
      </c>
      <c r="U27" s="739" t="s">
        <v>499</v>
      </c>
      <c r="V27" s="739">
        <f>Skills!E190</f>
        <v>0</v>
      </c>
      <c r="W27" s="737" t="str">
        <f>Skills!E126</f>
        <v>Untrained</v>
      </c>
      <c r="X27" s="737"/>
      <c r="Y27" s="740" t="s">
        <v>499</v>
      </c>
      <c r="Z27" s="740"/>
      <c r="AA27" s="740" t="s">
        <v>499</v>
      </c>
      <c r="AB27" s="741"/>
      <c r="AC27" s="637"/>
    </row>
    <row r="28" spans="1:29" ht="19.5" customHeight="1" x14ac:dyDescent="0.25">
      <c r="A28" s="643"/>
      <c r="B28" s="757" t="s">
        <v>52</v>
      </c>
      <c r="C28" s="758"/>
      <c r="D28" s="759">
        <f>Skills!E10</f>
        <v>13</v>
      </c>
      <c r="E28" s="738" t="s">
        <v>502</v>
      </c>
      <c r="F28" s="739">
        <f>Skills!E51</f>
        <v>4</v>
      </c>
      <c r="G28" s="739" t="s">
        <v>499</v>
      </c>
      <c r="H28" s="1341">
        <f>Skills!E177</f>
        <v>9</v>
      </c>
      <c r="I28" s="737" t="str">
        <f>Skills!E100</f>
        <v>Expert</v>
      </c>
      <c r="J28" s="737"/>
      <c r="K28" s="740" t="s">
        <v>499</v>
      </c>
      <c r="L28" s="740"/>
      <c r="M28" s="740" t="s">
        <v>499</v>
      </c>
      <c r="N28" s="742">
        <f>Skills!E278</f>
        <v>0</v>
      </c>
      <c r="O28" s="757" t="s">
        <v>62</v>
      </c>
      <c r="P28" s="758"/>
      <c r="Q28" s="758"/>
      <c r="R28" s="759">
        <f>Skills!E27</f>
        <v>1</v>
      </c>
      <c r="S28" s="738" t="s">
        <v>502</v>
      </c>
      <c r="T28" s="739">
        <f>Skills!E65</f>
        <v>1</v>
      </c>
      <c r="U28" s="739" t="s">
        <v>499</v>
      </c>
      <c r="V28" s="739">
        <f>Skills!E191</f>
        <v>0</v>
      </c>
      <c r="W28" s="737" t="str">
        <f>Skills!E128</f>
        <v>Untrained</v>
      </c>
      <c r="X28" s="737"/>
      <c r="Y28" s="740" t="s">
        <v>499</v>
      </c>
      <c r="Z28" s="740"/>
      <c r="AA28" s="740" t="s">
        <v>499</v>
      </c>
      <c r="AB28" s="741"/>
      <c r="AC28" s="637"/>
    </row>
    <row r="29" spans="1:29" ht="19.5" customHeight="1" x14ac:dyDescent="0.25">
      <c r="A29" s="643"/>
      <c r="B29" s="757" t="s">
        <v>53</v>
      </c>
      <c r="C29" s="758"/>
      <c r="D29" s="759">
        <f>Skills!E11</f>
        <v>8</v>
      </c>
      <c r="E29" s="738" t="s">
        <v>502</v>
      </c>
      <c r="F29" s="739">
        <f>Skills!E52</f>
        <v>1</v>
      </c>
      <c r="G29" s="739" t="s">
        <v>499</v>
      </c>
      <c r="H29" s="1341">
        <f>Skills!E178</f>
        <v>7</v>
      </c>
      <c r="I29" s="737" t="str">
        <f>Skills!E102</f>
        <v>Trained</v>
      </c>
      <c r="J29" s="737"/>
      <c r="K29" s="740" t="s">
        <v>499</v>
      </c>
      <c r="L29" s="740"/>
      <c r="M29" s="740" t="s">
        <v>499</v>
      </c>
      <c r="N29" s="741"/>
      <c r="O29" s="757" t="s">
        <v>23</v>
      </c>
      <c r="P29" s="758"/>
      <c r="Q29" s="1342"/>
      <c r="R29" s="759">
        <f>Skills!E28</f>
        <v>10</v>
      </c>
      <c r="S29" s="738" t="s">
        <v>502</v>
      </c>
      <c r="T29" s="739">
        <f>Skills!E66</f>
        <v>3</v>
      </c>
      <c r="U29" s="739" t="s">
        <v>499</v>
      </c>
      <c r="V29" s="739">
        <f>Skills!E192</f>
        <v>7</v>
      </c>
      <c r="W29" s="737" t="str">
        <f>Skills!E130</f>
        <v>Trained</v>
      </c>
      <c r="X29" s="737"/>
      <c r="Y29" s="740" t="s">
        <v>499</v>
      </c>
      <c r="Z29" s="740"/>
      <c r="AA29" s="740" t="s">
        <v>499</v>
      </c>
      <c r="AB29" s="742">
        <f>Skills!E279</f>
        <v>0</v>
      </c>
      <c r="AC29" s="637"/>
    </row>
    <row r="30" spans="1:29" ht="19.5" customHeight="1" x14ac:dyDescent="0.25">
      <c r="A30" s="643"/>
      <c r="B30" s="757" t="s">
        <v>54</v>
      </c>
      <c r="C30" s="758"/>
      <c r="D30" s="759">
        <f>Skills!E12</f>
        <v>-1</v>
      </c>
      <c r="E30" s="738" t="s">
        <v>502</v>
      </c>
      <c r="F30" s="739">
        <f>Skills!E53</f>
        <v>-1</v>
      </c>
      <c r="G30" s="739" t="s">
        <v>499</v>
      </c>
      <c r="H30" s="1341">
        <f>Skills!E179</f>
        <v>0</v>
      </c>
      <c r="I30" s="737" t="str">
        <f>Skills!E104</f>
        <v>Untrained</v>
      </c>
      <c r="J30" s="737"/>
      <c r="K30" s="740" t="s">
        <v>499</v>
      </c>
      <c r="L30" s="740"/>
      <c r="M30" s="740" t="s">
        <v>499</v>
      </c>
      <c r="N30" s="741"/>
      <c r="O30" s="757" t="s">
        <v>24</v>
      </c>
      <c r="P30" s="758"/>
      <c r="Q30" s="1342"/>
      <c r="R30" s="759">
        <f>Skills!E29</f>
        <v>9</v>
      </c>
      <c r="S30" s="738" t="s">
        <v>502</v>
      </c>
      <c r="T30" s="739">
        <f>Skills!E67</f>
        <v>2</v>
      </c>
      <c r="U30" s="739" t="s">
        <v>499</v>
      </c>
      <c r="V30" s="739">
        <f>Skills!E193</f>
        <v>7</v>
      </c>
      <c r="W30" s="737" t="str">
        <f>Skills!E132</f>
        <v>Trained</v>
      </c>
      <c r="X30" s="737"/>
      <c r="Y30" s="740" t="s">
        <v>499</v>
      </c>
      <c r="Z30" s="740"/>
      <c r="AA30" s="740" t="s">
        <v>499</v>
      </c>
      <c r="AB30" s="741"/>
      <c r="AC30" s="637"/>
    </row>
    <row r="31" spans="1:29" ht="19.5" customHeight="1" x14ac:dyDescent="0.25">
      <c r="A31" s="643"/>
      <c r="B31" s="757" t="s">
        <v>21</v>
      </c>
      <c r="C31" s="758"/>
      <c r="D31" s="759">
        <f>Skills!E13</f>
        <v>-1</v>
      </c>
      <c r="E31" s="738" t="s">
        <v>502</v>
      </c>
      <c r="F31" s="739">
        <f>Skills!E54</f>
        <v>-1</v>
      </c>
      <c r="G31" s="739" t="s">
        <v>499</v>
      </c>
      <c r="H31" s="1341">
        <f>Skills!E180</f>
        <v>0</v>
      </c>
      <c r="I31" s="737" t="str">
        <f>Skills!E106</f>
        <v>Untrained</v>
      </c>
      <c r="J31" s="737"/>
      <c r="K31" s="740" t="s">
        <v>499</v>
      </c>
      <c r="L31" s="740"/>
      <c r="M31" s="740" t="s">
        <v>499</v>
      </c>
      <c r="N31" s="741"/>
      <c r="O31" s="757" t="s">
        <v>63</v>
      </c>
      <c r="P31" s="758"/>
      <c r="Q31" s="1342"/>
      <c r="R31" s="759">
        <f>Skills!E30</f>
        <v>10</v>
      </c>
      <c r="S31" s="738" t="s">
        <v>502</v>
      </c>
      <c r="T31" s="739">
        <f>Skills!E68</f>
        <v>3</v>
      </c>
      <c r="U31" s="739" t="s">
        <v>499</v>
      </c>
      <c r="V31" s="739">
        <f>Skills!E194</f>
        <v>7</v>
      </c>
      <c r="W31" s="737" t="str">
        <f>Skills!E134</f>
        <v>Trained</v>
      </c>
      <c r="X31" s="737"/>
      <c r="Y31" s="740" t="s">
        <v>499</v>
      </c>
      <c r="Z31" s="740"/>
      <c r="AA31" s="740" t="s">
        <v>499</v>
      </c>
      <c r="AB31" s="742">
        <f>Skills!E280</f>
        <v>0</v>
      </c>
      <c r="AC31" s="637"/>
    </row>
    <row r="32" spans="1:29" ht="19.5" customHeight="1" x14ac:dyDescent="0.25">
      <c r="A32" s="643"/>
      <c r="B32" s="757" t="s">
        <v>55</v>
      </c>
      <c r="C32" s="758"/>
      <c r="D32" s="759">
        <f>Skills!E14</f>
        <v>-1</v>
      </c>
      <c r="E32" s="738" t="s">
        <v>502</v>
      </c>
      <c r="F32" s="739">
        <f>Skills!E55</f>
        <v>-1</v>
      </c>
      <c r="G32" s="739" t="s">
        <v>499</v>
      </c>
      <c r="H32" s="1341">
        <f>Skills!E181</f>
        <v>0</v>
      </c>
      <c r="I32" s="737" t="str">
        <f>Skills!E108</f>
        <v>Untrained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",Skills!E17)</f>
        <v>&gt; Warfare</v>
      </c>
      <c r="C33" s="758"/>
      <c r="D33" s="759">
        <f>Skills!E16</f>
        <v>8</v>
      </c>
      <c r="E33" s="738" t="s">
        <v>502</v>
      </c>
      <c r="F33" s="739">
        <f>Skills!E57</f>
        <v>1</v>
      </c>
      <c r="G33" s="739" t="s">
        <v>499</v>
      </c>
      <c r="H33" s="1341">
        <f>Skills!E183</f>
        <v>7</v>
      </c>
      <c r="I33" s="737" t="str">
        <f>Skills!E112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customHeight="1" outlineLevel="1" x14ac:dyDescent="0.25">
      <c r="A34" s="643"/>
      <c r="B34" s="1140" t="str">
        <f>IF(Skills!E19="","",CONCATENATE("&gt; ",Skills!E19))</f>
        <v/>
      </c>
      <c r="C34" s="758"/>
      <c r="D34" s="759" t="str">
        <f>IF(Skills!E19="","",Skills!E18)</f>
        <v/>
      </c>
      <c r="E34" s="738" t="s">
        <v>502</v>
      </c>
      <c r="F34" s="739" t="str">
        <f>IF(Skills!E19="","",Skills!E57)</f>
        <v/>
      </c>
      <c r="G34" s="739" t="s">
        <v>499</v>
      </c>
      <c r="H34" s="1341">
        <f>Skills!E184</f>
        <v>0</v>
      </c>
      <c r="I34" s="737" t="str">
        <f>Skills!E114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x14ac:dyDescent="0.25">
      <c r="A35" s="643"/>
      <c r="B35" s="760" t="s">
        <v>57</v>
      </c>
      <c r="C35" s="758"/>
      <c r="D35" s="759">
        <f>Skills!E22</f>
        <v>2</v>
      </c>
      <c r="E35" s="738" t="s">
        <v>502</v>
      </c>
      <c r="F35" s="739">
        <f>Skills!E60</f>
        <v>2</v>
      </c>
      <c r="G35" s="739" t="s">
        <v>499</v>
      </c>
      <c r="H35" s="1341">
        <f>Skills!E186</f>
        <v>0</v>
      </c>
      <c r="I35" s="737" t="str">
        <f>Skills!E118</f>
        <v>Untrained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Skills!E23</f>
        <v>2</v>
      </c>
      <c r="E36" s="738" t="s">
        <v>502</v>
      </c>
      <c r="F36" s="739">
        <f>Skills!E61</f>
        <v>2</v>
      </c>
      <c r="G36" s="739" t="s">
        <v>499</v>
      </c>
      <c r="H36" s="1341">
        <f>Skills!E187</f>
        <v>0</v>
      </c>
      <c r="I36" s="737" t="str">
        <f>Skills!E120</f>
        <v>Untrained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Skills!E24</f>
        <v>1</v>
      </c>
      <c r="E37" s="743" t="s">
        <v>502</v>
      </c>
      <c r="F37" s="744">
        <f>Skills!E62</f>
        <v>1</v>
      </c>
      <c r="G37" s="744" t="s">
        <v>499</v>
      </c>
      <c r="H37" s="1344">
        <f>Skills!E188</f>
        <v>0</v>
      </c>
      <c r="I37" s="1345" t="str">
        <f>Skills!E122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Combat'!E512="","",'Equipment Combat'!E512&amp;" -&gt; Trigger : "&amp;'Equipment Combat'!E513&amp;"; Effect : "&amp;'Equipment Combat'!E514&amp;IF('Equipment Combat'!E515="",""," - "&amp;'Equipment Combat'!E515))</f>
        <v>Call on Ancient Blood -&gt; Trigger : You would roll save against magical effect; Effect : +1 circumstance bonus until the end of this turn</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customHeight="1" x14ac:dyDescent="0.25">
      <c r="A40" s="646"/>
      <c r="B40" s="725" t="str">
        <f>IF('Equipment Combat'!E516="","",'Equipment Combat'!E516&amp;" -&gt; Trigger : "&amp;'Equipment Combat'!E517&amp;"; Effect : "&amp;'Equipment Combat'!E518&amp;IF('Equipment Combat'!E519="",""," - "&amp;'Equipment Combat'!E519))</f>
        <v>Brutality -&gt; Trigger : Critical hit with melee weapons/unarmed attacks; Effect : Critical specialization effect - [While raging}</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customHeight="1" x14ac:dyDescent="0.25">
      <c r="A41" s="646"/>
      <c r="B41" s="725" t="str">
        <f>IF('Equipment Combat'!E520="","",'Equipment Combat'!E520&amp;" -&gt; Trigger : "&amp;'Equipment Combat'!E521&amp;"; Effect : "&amp;'Equipment Combat'!E522&amp;IF('Equipment Combat'!E523="",""," - "&amp;'Equipment Combat'!E523))</f>
        <v>Dwarven Weapon Cunning -&gt; Trigger : Critical success on Strike; Effect : Critical specialization effect - [Battle axe/pick/warhammer/dwarf weapon]</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Combat'!E524="","",'Equipment Combat'!E524&amp;" -&gt; Trigger : "&amp;'Equipment Combat'!E525&amp;"; Effect : "&amp;'Equipment Combat'!E526&amp;IF('Equipment Combat'!E527="",""," - "&amp;'Equipment Combat'!E527))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Combat'!E528="","",'Equipment Combat'!E528&amp;" -&gt; Trigger : "&amp;'Equipment Combat'!E529&amp;"; Effect : "&amp;'Equipment Combat'!E530&amp;IF('Equipment Combat'!E531="",""," - "&amp;'Equipment Combat'!E531))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s="627" customFormat="1"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s="627" customFormat="1" ht="19.5" customHeight="1" x14ac:dyDescent="0.25">
      <c r="A48" s="656"/>
      <c r="B48" s="1328" t="str">
        <f>IF('Equipment Combat'!E7="","",'Equipment Combat'!E7&amp;" ("&amp;'Equipment Combat'!E114&amp;")")</f>
        <v>Backpack (Back)</v>
      </c>
      <c r="C48" s="1329"/>
      <c r="D48" s="1329"/>
      <c r="E48" s="1330"/>
      <c r="F48" s="1331"/>
      <c r="G48" s="714">
        <f>IF('Equipment Combat'!E60="","",'Equipment Combat'!E60)</f>
        <v>1</v>
      </c>
      <c r="H48" s="715" t="str">
        <f>IF('Equipment Combat'!E114="Stowed","["&amp;IF('Equipment Combat'!#REF!&lt;0.1,"",IF('Equipment Combat'!#REF!&lt;1,INT(10*'Equipment Combat'!#REF!)&amp;"L",INT('Equipment Combat'!#REF!)&amp;"B"))&amp;"]",IF('Equipment Combat'!E277&lt;0.1,"",IF('Equipment Combat'!E277&lt;1,INT(10*'Equipment Combat'!E277)&amp;"L",INT('Equipment Combat'!E277)&amp;"B")))</f>
        <v>4L</v>
      </c>
      <c r="I48" s="1328" t="str">
        <f>IF('Equipment Combat'!E20="","",'Equipment Combat'!E20&amp;" ("&amp;'Equipment Combat'!E127&amp;")")</f>
        <v>Hide Armor (+3 M2 -2/14) (Worn)</v>
      </c>
      <c r="J48" s="1329"/>
      <c r="K48" s="1330"/>
      <c r="L48" s="1331"/>
      <c r="M48" s="1329"/>
      <c r="N48" s="714">
        <f>IF('Equipment Combat'!E73="","",'Equipment Combat'!E73)</f>
        <v>1</v>
      </c>
      <c r="O48" s="715" t="str">
        <f>IF('Equipment Combat'!E127="Stowed","["&amp;IF('Equipment Combat'!E234&lt;0.1,"",IF('Equipment Combat'!E234&lt;1,INT(10*'Equipment Combat'!E234)&amp;"L",INT('Equipment Combat'!E234)&amp;"B"))&amp;"]",IF('Equipment Combat'!E290&lt;0.1,"",IF('Equipment Combat'!E290&lt;1,INT(10*'Equipment Combat'!E290)&amp;"L",INT('Equipment Combat'!E290)&amp;"B")))</f>
        <v>2B</v>
      </c>
      <c r="P48" s="1328" t="str">
        <f>IF('Equipment Combat'!E33="","",'Equipment Combat'!E33&amp;" ("&amp;'Equipment Combat'!E140&amp;")")</f>
        <v/>
      </c>
      <c r="Q48" s="1329"/>
      <c r="R48" s="1330"/>
      <c r="S48" s="1331"/>
      <c r="T48" s="1329"/>
      <c r="U48" s="714" t="str">
        <f>IF('Equipment Combat'!E86="","",'Equipment Combat'!E86)</f>
        <v/>
      </c>
      <c r="V48" s="715" t="str">
        <f>IF('Equipment Combat'!E140="Stowed","["&amp;IF('Equipment Combat'!E247&lt;0.1,"",IF('Equipment Combat'!E247&lt;1,INT(10*'Equipment Combat'!E247)&amp;"L",INT('Equipment Combat'!E247)&amp;"B"))&amp;"]",IF('Equipment Combat'!E303&lt;0.1,"",IF('Equipment Combat'!E303&lt;1,INT(10*'Equipment Combat'!E303)&amp;"L",INT('Equipment Combat'!E303)&amp;"B")))</f>
        <v/>
      </c>
      <c r="W48" s="1328" t="str">
        <f>IF('Equipment Combat'!E46="","",'Equipment Combat'!E46&amp;" ("&amp;'Equipment Combat'!E153&amp;")")</f>
        <v/>
      </c>
      <c r="X48" s="1329"/>
      <c r="Y48" s="1331"/>
      <c r="Z48" s="1329"/>
      <c r="AA48" s="714" t="str">
        <f>IF('Equipment Combat'!E99="","",'Equipment Combat'!E99)</f>
        <v/>
      </c>
      <c r="AB48" s="715" t="str">
        <f>IF('Equipment Combat'!E153="Stowed","["&amp;IF('Equipment Combat'!E260&lt;0.1,"",IF('Equipment Combat'!E260&lt;1,INT(10*'Equipment Combat'!E260)&amp;"L",INT('Equipment Combat'!E260)&amp;"B"))&amp;"]",IF('Equipment Combat'!E316&lt;0.1,"",IF('Equipment Combat'!E316&lt;1,INT(10*'Equipment Combat'!E316)&amp;"L",INT('Equipment Combat'!E316)&amp;"B")))</f>
        <v/>
      </c>
      <c r="AC48" s="637"/>
    </row>
    <row r="49" spans="1:29" s="627" customFormat="1" ht="19.5" customHeight="1" x14ac:dyDescent="0.25">
      <c r="A49" s="656"/>
      <c r="B49" s="1332" t="str">
        <f>IF('Equipment Combat'!E8="","",'Equipment Combat'!E8&amp;" ("&amp;'Equipment Combat'!E115&amp;")")</f>
        <v>Bedroll (Stowed)</v>
      </c>
      <c r="C49" s="1333"/>
      <c r="D49" s="1333"/>
      <c r="E49" s="1334"/>
      <c r="F49" s="1335"/>
      <c r="G49" s="716">
        <f>IF('Equipment Combat'!E61="","",'Equipment Combat'!E61)</f>
        <v>1</v>
      </c>
      <c r="H49" s="717" t="str">
        <f>IF('Equipment Combat'!E115="Stowed","["&amp;IF('Equipment Combat'!E222&lt;0.1,"",IF('Equipment Combat'!E222&lt;1,INT(10*'Equipment Combat'!E222)&amp;"L",INT('Equipment Combat'!E222)&amp;"B"))&amp;"]",IF('Equipment Combat'!E278&lt;0.1,"",IF('Equipment Combat'!E278&lt;1,INT(10*'Equipment Combat'!E278)&amp;"L",INT('Equipment Combat'!E278)&amp;"B")))</f>
        <v>[1L]</v>
      </c>
      <c r="I49" s="1332" t="str">
        <f>IF('Equipment Combat'!E21="","",'Equipment Combat'!E21&amp;" ("&amp;'Equipment Combat'!E128&amp;")")</f>
        <v>Grappling Hook (Stowed)</v>
      </c>
      <c r="J49" s="1333"/>
      <c r="K49" s="1334"/>
      <c r="L49" s="1335"/>
      <c r="M49" s="1333"/>
      <c r="N49" s="716">
        <f>IF('Equipment Combat'!E74="","",'Equipment Combat'!E74)</f>
        <v>1</v>
      </c>
      <c r="O49" s="717" t="str">
        <f>IF('Equipment Combat'!E128="Stowed","["&amp;IF('Equipment Combat'!E235&lt;0.1,"",IF('Equipment Combat'!E235&lt;1,INT(10*'Equipment Combat'!E235)&amp;"L",INT('Equipment Combat'!E235)&amp;"B"))&amp;"]",IF('Equipment Combat'!E291&lt;0.1,"",IF('Equipment Combat'!E291&lt;1,INT(10*'Equipment Combat'!E291)&amp;"L",INT('Equipment Combat'!E291)&amp;"B")))</f>
        <v>[1L]</v>
      </c>
      <c r="P49" s="1332" t="str">
        <f>IF('Equipment Combat'!E34="","",'Equipment Combat'!E34&amp;" ("&amp;'Equipment Combat'!E141&amp;")")</f>
        <v/>
      </c>
      <c r="Q49" s="1333"/>
      <c r="R49" s="1334"/>
      <c r="S49" s="1335"/>
      <c r="T49" s="1333"/>
      <c r="U49" s="716" t="str">
        <f>IF('Equipment Combat'!E87="","",'Equipment Combat'!E87)</f>
        <v/>
      </c>
      <c r="V49" s="717" t="str">
        <f>IF('Equipment Combat'!E141="Stowed","["&amp;IF('Equipment Combat'!E248&lt;0.1,"",IF('Equipment Combat'!E248&lt;1,INT(10*'Equipment Combat'!E248)&amp;"L",INT('Equipment Combat'!E248)&amp;"B"))&amp;"]",IF('Equipment Combat'!E304&lt;0.1,"",IF('Equipment Combat'!E304&lt;1,INT(10*'Equipment Combat'!E304)&amp;"L",INT('Equipment Combat'!E304)&amp;"B")))</f>
        <v/>
      </c>
      <c r="W49" s="1332" t="str">
        <f>IF('Equipment Combat'!E47="","",'Equipment Combat'!E47&amp;" ("&amp;'Equipment Combat'!E154&amp;")")</f>
        <v/>
      </c>
      <c r="X49" s="1333"/>
      <c r="Y49" s="1335"/>
      <c r="Z49" s="1333"/>
      <c r="AA49" s="716" t="str">
        <f>IF('Equipment Combat'!E100="","",'Equipment Combat'!E100)</f>
        <v/>
      </c>
      <c r="AB49" s="717" t="str">
        <f>IF('Equipment Combat'!E154="Stowed","["&amp;IF('Equipment Combat'!E261&lt;0.1,"",IF('Equipment Combat'!E261&lt;1,INT(10*'Equipment Combat'!E261)&amp;"L",INT('Equipment Combat'!E261)&amp;"B"))&amp;"]",IF('Equipment Combat'!E317&lt;0.1,"",IF('Equipment Combat'!E317&lt;1,INT(10*'Equipment Combat'!E317)&amp;"L",INT('Equipment Combat'!E317)&amp;"B")))</f>
        <v/>
      </c>
      <c r="AC49" s="637"/>
    </row>
    <row r="50" spans="1:29" s="627" customFormat="1" ht="19.5" customHeight="1" x14ac:dyDescent="0.25">
      <c r="A50" s="656"/>
      <c r="B50" s="1332" t="str">
        <f>IF('Equipment Combat'!E9="","",'Equipment Combat'!E9&amp;" ("&amp;'Equipment Combat'!E116&amp;")")</f>
        <v>Chalk (Stowed)</v>
      </c>
      <c r="C50" s="1333"/>
      <c r="D50" s="1333"/>
      <c r="E50" s="1334"/>
      <c r="F50" s="1335"/>
      <c r="G50" s="716">
        <f>IF('Equipment Combat'!E62="","",'Equipment Combat'!E62)</f>
        <v>10</v>
      </c>
      <c r="H50" s="717" t="str">
        <f>IF('Equipment Combat'!E116="Stowed","["&amp;IF('Equipment Combat'!E223&lt;0.1,"",IF('Equipment Combat'!E223&lt;1,INT(10*'Equipment Combat'!E223)&amp;"L",INT('Equipment Combat'!E223)&amp;"B"))&amp;"]",IF('Equipment Combat'!E279&lt;0.1,"",IF('Equipment Combat'!E279&lt;1,INT(10*'Equipment Combat'!E279)&amp;"L",INT('Equipment Combat'!E279)&amp;"B")))</f>
        <v>[]</v>
      </c>
      <c r="I50" s="1332" t="str">
        <f>IF('Equipment Combat'!E22="","",'Equipment Combat'!E22&amp;" ("&amp;'Equipment Combat'!E129&amp;")")</f>
        <v>Oil of Potency (Worn)</v>
      </c>
      <c r="J50" s="1333"/>
      <c r="K50" s="1334"/>
      <c r="L50" s="1335"/>
      <c r="M50" s="1333"/>
      <c r="N50" s="716">
        <f>IF('Equipment Combat'!E75="","",'Equipment Combat'!E75)</f>
        <v>2</v>
      </c>
      <c r="O50" s="717" t="str">
        <f>IF('Equipment Combat'!E129="Stowed","["&amp;IF('Equipment Combat'!E236&lt;0.1,"",IF('Equipment Combat'!E236&lt;1,INT(10*'Equipment Combat'!E236)&amp;"L",INT('Equipment Combat'!E236)&amp;"B"))&amp;"]",IF('Equipment Combat'!E292&lt;0.1,"",IF('Equipment Combat'!E292&lt;1,INT(10*'Equipment Combat'!E292)&amp;"L",INT('Equipment Combat'!E292)&amp;"B")))</f>
        <v>2L</v>
      </c>
      <c r="P50" s="1332" t="str">
        <f>IF('Equipment Combat'!E35="","",'Equipment Combat'!E35&amp;" ("&amp;'Equipment Combat'!E142&amp;")")</f>
        <v/>
      </c>
      <c r="Q50" s="1333"/>
      <c r="R50" s="1334"/>
      <c r="S50" s="1335"/>
      <c r="T50" s="1333"/>
      <c r="U50" s="716" t="str">
        <f>IF('Equipment Combat'!E88="","",'Equipment Combat'!E88)</f>
        <v/>
      </c>
      <c r="V50" s="717" t="str">
        <f>IF('Equipment Combat'!E142="Stowed","["&amp;IF('Equipment Combat'!E249&lt;0.1,"",IF('Equipment Combat'!E249&lt;1,INT(10*'Equipment Combat'!E249)&amp;"L",INT('Equipment Combat'!E249)&amp;"B"))&amp;"]",IF('Equipment Combat'!E305&lt;0.1,"",IF('Equipment Combat'!E305&lt;1,INT(10*'Equipment Combat'!E305)&amp;"L",INT('Equipment Combat'!E305)&amp;"B")))</f>
        <v/>
      </c>
      <c r="W50" s="1332" t="str">
        <f>IF('Equipment Combat'!E48="","",'Equipment Combat'!E48&amp;" ("&amp;'Equipment Combat'!E155&amp;")")</f>
        <v/>
      </c>
      <c r="X50" s="1333"/>
      <c r="Y50" s="1335"/>
      <c r="Z50" s="1333"/>
      <c r="AA50" s="716" t="str">
        <f>IF('Equipment Combat'!E101="","",'Equipment Combat'!E101)</f>
        <v/>
      </c>
      <c r="AB50" s="717" t="str">
        <f>IF('Equipment Combat'!E155="Stowed","["&amp;IF('Equipment Combat'!E262&lt;0.1,"",IF('Equipment Combat'!E262&lt;1,INT(10*'Equipment Combat'!E262)&amp;"L",INT('Equipment Combat'!E262)&amp;"B"))&amp;"]",IF('Equipment Combat'!E318&lt;0.1,"",IF('Equipment Combat'!E318&lt;1,INT(10*'Equipment Combat'!E318)&amp;"L",INT('Equipment Combat'!E318)&amp;"B")))</f>
        <v/>
      </c>
      <c r="AC50" s="637"/>
    </row>
    <row r="51" spans="1:29" s="627" customFormat="1" ht="19.5" customHeight="1" x14ac:dyDescent="0.25">
      <c r="A51" s="656"/>
      <c r="B51" s="1332" t="str">
        <f>IF('Equipment Combat'!E10="","",'Equipment Combat'!E10&amp;" ("&amp;'Equipment Combat'!E117&amp;")")</f>
        <v>Flint and Steel (Stowed)</v>
      </c>
      <c r="C51" s="1333"/>
      <c r="D51" s="1333"/>
      <c r="E51" s="1334"/>
      <c r="F51" s="1335"/>
      <c r="G51" s="716">
        <f>IF('Equipment Combat'!E63="","",'Equipment Combat'!E63)</f>
        <v>1</v>
      </c>
      <c r="H51" s="717" t="str">
        <f>IF('Equipment Combat'!E117="Stowed","["&amp;IF('Equipment Combat'!E224&lt;0.1,"",IF('Equipment Combat'!E224&lt;1,INT(10*'Equipment Combat'!E224)&amp;"L",INT('Equipment Combat'!E224)&amp;"B"))&amp;"]",IF('Equipment Combat'!E280&lt;0.1,"",IF('Equipment Combat'!E280&lt;1,INT(10*'Equipment Combat'!E280)&amp;"L",INT('Equipment Combat'!E280)&amp;"B")))</f>
        <v>[]</v>
      </c>
      <c r="I51" s="1332" t="str">
        <f>IF('Equipment Combat'!E23="","",'Equipment Combat'!E23&amp;" ("&amp;'Equipment Combat'!E130&amp;")")</f>
        <v>Bracers of Missile Deflection (Worn)</v>
      </c>
      <c r="J51" s="1333"/>
      <c r="K51" s="1334"/>
      <c r="L51" s="1335"/>
      <c r="M51" s="1333"/>
      <c r="N51" s="716">
        <f>IF('Equipment Combat'!E76="","",'Equipment Combat'!E76)</f>
        <v>1</v>
      </c>
      <c r="O51" s="717" t="str">
        <f>IF('Equipment Combat'!E130="Stowed","["&amp;IF('Equipment Combat'!E237&lt;0.1,"",IF('Equipment Combat'!E237&lt;1,INT(10*'Equipment Combat'!E237)&amp;"L",INT('Equipment Combat'!E237)&amp;"B"))&amp;"]",IF('Equipment Combat'!E293&lt;0.1,"",IF('Equipment Combat'!E293&lt;1,INT(10*'Equipment Combat'!E293)&amp;"L",INT('Equipment Combat'!E293)&amp;"B")))</f>
        <v>1L</v>
      </c>
      <c r="P51" s="1332" t="str">
        <f>IF('Equipment Combat'!E36="","",'Equipment Combat'!E36&amp;" ("&amp;'Equipment Combat'!E143&amp;")")</f>
        <v/>
      </c>
      <c r="Q51" s="1333"/>
      <c r="R51" s="1334"/>
      <c r="S51" s="1335"/>
      <c r="T51" s="1333"/>
      <c r="U51" s="716" t="str">
        <f>IF('Equipment Combat'!E89="","",'Equipment Combat'!E89)</f>
        <v/>
      </c>
      <c r="V51" s="717" t="str">
        <f>IF('Equipment Combat'!E143="Stowed","["&amp;IF('Equipment Combat'!E250&lt;0.1,"",IF('Equipment Combat'!E250&lt;1,INT(10*'Equipment Combat'!E250)&amp;"L",INT('Equipment Combat'!E250)&amp;"B"))&amp;"]",IF('Equipment Combat'!E306&lt;0.1,"",IF('Equipment Combat'!E306&lt;1,INT(10*'Equipment Combat'!E306)&amp;"L",INT('Equipment Combat'!E306)&amp;"B")))</f>
        <v/>
      </c>
      <c r="W51" s="1332" t="str">
        <f>IF('Equipment Combat'!E49="","",'Equipment Combat'!E49&amp;" ("&amp;'Equipment Combat'!E156&amp;")")</f>
        <v/>
      </c>
      <c r="X51" s="1333"/>
      <c r="Y51" s="1335"/>
      <c r="Z51" s="1333"/>
      <c r="AA51" s="716" t="str">
        <f>IF('Equipment Combat'!E102="","",'Equipment Combat'!E102)</f>
        <v/>
      </c>
      <c r="AB51" s="717" t="str">
        <f>IF('Equipment Combat'!E156="Stowed","["&amp;IF('Equipment Combat'!E263&lt;0.1,"",IF('Equipment Combat'!E263&lt;1,INT(10*'Equipment Combat'!E263)&amp;"L",INT('Equipment Combat'!E263)&amp;"B"))&amp;"]",IF('Equipment Combat'!E319&lt;0.1,"",IF('Equipment Combat'!E319&lt;1,INT(10*'Equipment Combat'!E319)&amp;"L",INT('Equipment Combat'!E319)&amp;"B")))</f>
        <v/>
      </c>
      <c r="AC51" s="637"/>
    </row>
    <row r="52" spans="1:29" s="627" customFormat="1" ht="19.5" customHeight="1" x14ac:dyDescent="0.25">
      <c r="A52" s="656"/>
      <c r="B52" s="1332" t="str">
        <f>IF('Equipment Combat'!E11="","",'Equipment Combat'!E11&amp;" ("&amp;'Equipment Combat'!E118&amp;")")</f>
        <v>Rations (day) (Stowed)</v>
      </c>
      <c r="C52" s="1333"/>
      <c r="D52" s="1333"/>
      <c r="E52" s="1334"/>
      <c r="F52" s="1335"/>
      <c r="G52" s="716">
        <f>IF('Equipment Combat'!E64="","",'Equipment Combat'!E64)</f>
        <v>28</v>
      </c>
      <c r="H52" s="717" t="str">
        <f>IF('Equipment Combat'!E118="Stowed","["&amp;IF('Equipment Combat'!E225&lt;0.1,"",IF('Equipment Combat'!E225&lt;1,INT(10*'Equipment Combat'!E225)&amp;"L",INT('Equipment Combat'!E225)&amp;"B"))&amp;"]",IF('Equipment Combat'!E281&lt;0.1,"",IF('Equipment Combat'!E281&lt;1,INT(10*'Equipment Combat'!E281)&amp;"L",INT('Equipment Combat'!E281)&amp;"B")))</f>
        <v>[4L]</v>
      </c>
      <c r="I52" s="1332" t="str">
        <f>IF('Equipment Combat'!E24="","",'Equipment Combat'!E24&amp;" ("&amp;'Equipment Combat'!E131&amp;")")</f>
        <v>+1 Greatsword (Worn)</v>
      </c>
      <c r="J52" s="1333"/>
      <c r="K52" s="1334"/>
      <c r="L52" s="1335"/>
      <c r="M52" s="1333"/>
      <c r="N52" s="716">
        <f>IF('Equipment Combat'!E77="","",'Equipment Combat'!E77)</f>
        <v>1</v>
      </c>
      <c r="O52" s="717" t="str">
        <f>IF('Equipment Combat'!E131="Stowed","["&amp;IF('Equipment Combat'!E238&lt;0.1,"",IF('Equipment Combat'!E238&lt;1,INT(10*'Equipment Combat'!E238)&amp;"L",INT('Equipment Combat'!E238)&amp;"B"))&amp;"]",IF('Equipment Combat'!E294&lt;0.1,"",IF('Equipment Combat'!E294&lt;1,INT(10*'Equipment Combat'!E294)&amp;"L",INT('Equipment Combat'!E294)&amp;"B")))</f>
        <v>2B</v>
      </c>
      <c r="P52" s="1332" t="str">
        <f>IF('Equipment Combat'!E37="","",'Equipment Combat'!E37&amp;" ("&amp;'Equipment Combat'!E144&amp;")")</f>
        <v/>
      </c>
      <c r="Q52" s="1333"/>
      <c r="R52" s="1334"/>
      <c r="S52" s="1335"/>
      <c r="T52" s="1333"/>
      <c r="U52" s="716" t="str">
        <f>IF('Equipment Combat'!E90="","",'Equipment Combat'!E90)</f>
        <v/>
      </c>
      <c r="V52" s="717" t="str">
        <f>IF('Equipment Combat'!E144="Stowed","["&amp;IF('Equipment Combat'!E251&lt;0.1,"",IF('Equipment Combat'!E251&lt;1,INT(10*'Equipment Combat'!E251)&amp;"L",INT('Equipment Combat'!E251)&amp;"B"))&amp;"]",IF('Equipment Combat'!E307&lt;0.1,"",IF('Equipment Combat'!E307&lt;1,INT(10*'Equipment Combat'!E307)&amp;"L",INT('Equipment Combat'!E307)&amp;"B")))</f>
        <v/>
      </c>
      <c r="W52" s="1332" t="str">
        <f>IF('Equipment Combat'!E50="","",'Equipment Combat'!E50&amp;" ("&amp;'Equipment Combat'!E157&amp;")")</f>
        <v/>
      </c>
      <c r="X52" s="1333"/>
      <c r="Y52" s="1335"/>
      <c r="Z52" s="1333"/>
      <c r="AA52" s="716" t="str">
        <f>IF('Equipment Combat'!E103="","",'Equipment Combat'!E103)</f>
        <v/>
      </c>
      <c r="AB52" s="717" t="str">
        <f>IF('Equipment Combat'!E157="Stowed","["&amp;IF('Equipment Combat'!E264&lt;0.1,"",IF('Equipment Combat'!E264&lt;1,INT(10*'Equipment Combat'!E264)&amp;"L",INT('Equipment Combat'!E264)&amp;"B"))&amp;"]",IF('Equipment Combat'!E320&lt;0.1,"",IF('Equipment Combat'!E320&lt;1,INT(10*'Equipment Combat'!E320)&amp;"L",INT('Equipment Combat'!E320)&amp;"B")))</f>
        <v/>
      </c>
      <c r="AC52" s="637"/>
    </row>
    <row r="53" spans="1:29" s="627" customFormat="1" ht="19.5" customHeight="1" x14ac:dyDescent="0.25">
      <c r="A53" s="656"/>
      <c r="B53" s="1332" t="str">
        <f>IF('Equipment Combat'!E12="","",'Equipment Combat'!E12&amp;" ("&amp;'Equipment Combat'!E119&amp;")")</f>
        <v>Rope 50' (Stowed)</v>
      </c>
      <c r="C53" s="1333"/>
      <c r="D53" s="1333"/>
      <c r="E53" s="1334"/>
      <c r="F53" s="1335"/>
      <c r="G53" s="716">
        <f>IF('Equipment Combat'!E65="","",'Equipment Combat'!E65)</f>
        <v>1</v>
      </c>
      <c r="H53" s="717" t="str">
        <f>IF('Equipment Combat'!E119="Stowed","["&amp;IF('Equipment Combat'!E226&lt;0.1,"",IF('Equipment Combat'!E226&lt;1,INT(10*'Equipment Combat'!E226)&amp;"L",INT('Equipment Combat'!E226)&amp;"B"))&amp;"]",IF('Equipment Combat'!E282&lt;0.1,"",IF('Equipment Combat'!E282&lt;1,INT(10*'Equipment Combat'!E282)&amp;"L",INT('Equipment Combat'!E282)&amp;"B")))</f>
        <v>[1L]</v>
      </c>
      <c r="I53" s="1332" t="str">
        <f>IF('Equipment Combat'!E25="","",'Equipment Combat'!E25&amp;" ("&amp;'Equipment Combat'!E132&amp;")")</f>
        <v>+1 Halberd (Worn)</v>
      </c>
      <c r="J53" s="1333"/>
      <c r="K53" s="1334"/>
      <c r="L53" s="1335"/>
      <c r="M53" s="1333"/>
      <c r="N53" s="716">
        <f>IF('Equipment Combat'!E78="","",'Equipment Combat'!E78)</f>
        <v>1</v>
      </c>
      <c r="O53" s="717" t="str">
        <f>IF('Equipment Combat'!E132="Stowed","["&amp;IF('Equipment Combat'!E239&lt;0.1,"",IF('Equipment Combat'!E239&lt;1,INT(10*'Equipment Combat'!E239)&amp;"L",INT('Equipment Combat'!E239)&amp;"B"))&amp;"]",IF('Equipment Combat'!E295&lt;0.1,"",IF('Equipment Combat'!E295&lt;1,INT(10*'Equipment Combat'!E295)&amp;"L",INT('Equipment Combat'!E295)&amp;"B")))</f>
        <v>2B</v>
      </c>
      <c r="P53" s="1332" t="str">
        <f>IF('Equipment Combat'!E38="","",'Equipment Combat'!E38&amp;" ("&amp;'Equipment Combat'!E145&amp;")")</f>
        <v/>
      </c>
      <c r="Q53" s="1333"/>
      <c r="R53" s="1334"/>
      <c r="S53" s="1335"/>
      <c r="T53" s="1333"/>
      <c r="U53" s="716" t="str">
        <f>IF('Equipment Combat'!E91="","",'Equipment Combat'!E91)</f>
        <v/>
      </c>
      <c r="V53" s="717" t="str">
        <f>IF('Equipment Combat'!E145="Stowed","["&amp;IF('Equipment Combat'!E252&lt;0.1,"",IF('Equipment Combat'!E252&lt;1,INT(10*'Equipment Combat'!E252)&amp;"L",INT('Equipment Combat'!E252)&amp;"B"))&amp;"]",IF('Equipment Combat'!E308&lt;0.1,"",IF('Equipment Combat'!E308&lt;1,INT(10*'Equipment Combat'!E308)&amp;"L",INT('Equipment Combat'!E308)&amp;"B")))</f>
        <v/>
      </c>
      <c r="W53" s="1332" t="str">
        <f>IF('Equipment Combat'!E51="","",'Equipment Combat'!E51&amp;" ("&amp;'Equipment Combat'!E158&amp;")")</f>
        <v/>
      </c>
      <c r="X53" s="1333"/>
      <c r="Y53" s="1335"/>
      <c r="Z53" s="1333"/>
      <c r="AA53" s="716" t="str">
        <f>IF('Equipment Combat'!E104="","",'Equipment Combat'!E104)</f>
        <v/>
      </c>
      <c r="AB53" s="717" t="str">
        <f>IF('Equipment Combat'!E158="Stowed","["&amp;IF('Equipment Combat'!E265&lt;0.1,"",IF('Equipment Combat'!E265&lt;1,INT(10*'Equipment Combat'!E265)&amp;"L",INT('Equipment Combat'!E265)&amp;"B"))&amp;"]",IF('Equipment Combat'!E321&lt;0.1,"",IF('Equipment Combat'!E321&lt;1,INT(10*'Equipment Combat'!E321)&amp;"L",INT('Equipment Combat'!E321)&amp;"B")))</f>
        <v/>
      </c>
      <c r="AC53" s="637"/>
    </row>
    <row r="54" spans="1:29" s="627" customFormat="1" ht="19.5" customHeight="1" x14ac:dyDescent="0.25">
      <c r="A54" s="656"/>
      <c r="B54" s="1332" t="str">
        <f>IF('Equipment Combat'!E13="","",'Equipment Combat'!E13&amp;" ("&amp;'Equipment Combat'!E120&amp;")")</f>
        <v>Soap (Stowed)</v>
      </c>
      <c r="C54" s="1333"/>
      <c r="D54" s="1333"/>
      <c r="E54" s="1334"/>
      <c r="F54" s="1335"/>
      <c r="G54" s="716">
        <f>IF('Equipment Combat'!E66="","",'Equipment Combat'!E66)</f>
        <v>1</v>
      </c>
      <c r="H54" s="717" t="str">
        <f>IF('Equipment Combat'!E120="Stowed","["&amp;IF('Equipment Combat'!E227&lt;0.1,"",IF('Equipment Combat'!E227&lt;1,INT(10*'Equipment Combat'!E227)&amp;"L",INT('Equipment Combat'!E227)&amp;"B"))&amp;"]",IF('Equipment Combat'!E283&lt;0.1,"",IF('Equipment Combat'!E283&lt;1,INT(10*'Equipment Combat'!E283)&amp;"L",INT('Equipment Combat'!E283)&amp;"B")))</f>
        <v>[]</v>
      </c>
      <c r="I54" s="1332" t="str">
        <f>IF('Equipment Combat'!E26="","",'Equipment Combat'!E26&amp;" ("&amp;'Equipment Combat'!E133&amp;")")</f>
        <v>Silk Pyjama (25 gp) (Stowed)</v>
      </c>
      <c r="J54" s="1333"/>
      <c r="K54" s="1334"/>
      <c r="L54" s="1335"/>
      <c r="M54" s="1333"/>
      <c r="N54" s="716">
        <f>IF('Equipment Combat'!E79="","",'Equipment Combat'!E79)</f>
        <v>1</v>
      </c>
      <c r="O54" s="717" t="str">
        <f>IF('Equipment Combat'!E133="Stowed","["&amp;IF('Equipment Combat'!E240&lt;0.1,"",IF('Equipment Combat'!E240&lt;1,INT(10*'Equipment Combat'!E240)&amp;"L",INT('Equipment Combat'!E240)&amp;"B"))&amp;"]",IF('Equipment Combat'!E296&lt;0.1,"",IF('Equipment Combat'!E296&lt;1,INT(10*'Equipment Combat'!E296)&amp;"L",INT('Equipment Combat'!E296)&amp;"B")))</f>
        <v>[1L]</v>
      </c>
      <c r="P54" s="1332" t="str">
        <f>IF('Equipment Combat'!E39="","",'Equipment Combat'!E39&amp;" ("&amp;'Equipment Combat'!E146&amp;")")</f>
        <v/>
      </c>
      <c r="Q54" s="1333"/>
      <c r="R54" s="1334"/>
      <c r="S54" s="1335"/>
      <c r="T54" s="1333"/>
      <c r="U54" s="716" t="str">
        <f>IF('Equipment Combat'!E92="","",'Equipment Combat'!E92)</f>
        <v/>
      </c>
      <c r="V54" s="717" t="str">
        <f>IF('Equipment Combat'!E146="Stowed","["&amp;IF('Equipment Combat'!E253&lt;0.1,"",IF('Equipment Combat'!E253&lt;1,INT(10*'Equipment Combat'!E253)&amp;"L",INT('Equipment Combat'!E253)&amp;"B"))&amp;"]",IF('Equipment Combat'!E309&lt;0.1,"",IF('Equipment Combat'!E309&lt;1,INT(10*'Equipment Combat'!E309)&amp;"L",INT('Equipment Combat'!E309)&amp;"B")))</f>
        <v/>
      </c>
      <c r="W54" s="1332" t="str">
        <f>IF('Equipment Combat'!E52="","",'Equipment Combat'!E52&amp;" ("&amp;'Equipment Combat'!E159&amp;")")</f>
        <v/>
      </c>
      <c r="X54" s="1333"/>
      <c r="Y54" s="1335"/>
      <c r="Z54" s="1333"/>
      <c r="AA54" s="716" t="str">
        <f>IF('Equipment Combat'!E105="","",'Equipment Combat'!E105)</f>
        <v/>
      </c>
      <c r="AB54" s="717" t="str">
        <f>IF('Equipment Combat'!E159="Stowed","["&amp;IF('Equipment Combat'!E266&lt;0.1,"",IF('Equipment Combat'!E266&lt;1,INT(10*'Equipment Combat'!E266)&amp;"L",INT('Equipment Combat'!E266)&amp;"B"))&amp;"]",IF('Equipment Combat'!E322&lt;0.1,"",IF('Equipment Combat'!E322&lt;1,INT(10*'Equipment Combat'!E322)&amp;"L",INT('Equipment Combat'!E322)&amp;"B")))</f>
        <v/>
      </c>
      <c r="AC54" s="637"/>
    </row>
    <row r="55" spans="1:29" s="627" customFormat="1" ht="19.5" customHeight="1" x14ac:dyDescent="0.25">
      <c r="A55" s="656"/>
      <c r="B55" s="1332" t="str">
        <f>IF('Equipment Combat'!E14="","",'Equipment Combat'!E14&amp;" ("&amp;'Equipment Combat'!E121&amp;")")</f>
        <v>Torch (Stowed)</v>
      </c>
      <c r="C55" s="1333"/>
      <c r="D55" s="1333"/>
      <c r="E55" s="1334"/>
      <c r="F55" s="1335"/>
      <c r="G55" s="716">
        <f>IF('Equipment Combat'!E67="","",'Equipment Combat'!E67)</f>
        <v>5</v>
      </c>
      <c r="H55" s="717" t="str">
        <f>IF('Equipment Combat'!E121="Stowed","["&amp;IF('Equipment Combat'!E228&lt;0.1,"",IF('Equipment Combat'!E228&lt;1,INT(10*'Equipment Combat'!E228)&amp;"L",INT('Equipment Combat'!E228)&amp;"B"))&amp;"]",IF('Equipment Combat'!E284&lt;0.1,"",IF('Equipment Combat'!E284&lt;1,INT(10*'Equipment Combat'!E284)&amp;"L",INT('Equipment Combat'!E284)&amp;"B")))</f>
        <v>[5L]</v>
      </c>
      <c r="I55" s="1332" t="str">
        <f>IF('Equipment Combat'!E27="","",'Equipment Combat'!E27&amp;" ("&amp;'Equipment Combat'!E134&amp;")")</f>
        <v>Elixir of Life (Lesser) (Worn)</v>
      </c>
      <c r="J55" s="1333"/>
      <c r="K55" s="1334"/>
      <c r="L55" s="1335"/>
      <c r="M55" s="1333"/>
      <c r="N55" s="716">
        <f>IF('Equipment Combat'!E80="","",'Equipment Combat'!E80)</f>
        <v>1</v>
      </c>
      <c r="O55" s="717" t="str">
        <f>IF('Equipment Combat'!E134="Stowed","["&amp;IF('Equipment Combat'!E241&lt;0.1,"",IF('Equipment Combat'!E241&lt;1,INT(10*'Equipment Combat'!E241)&amp;"L",INT('Equipment Combat'!E241)&amp;"B"))&amp;"]",IF('Equipment Combat'!E297&lt;0.1,"",IF('Equipment Combat'!E297&lt;1,INT(10*'Equipment Combat'!E297)&amp;"L",INT('Equipment Combat'!E297)&amp;"B")))</f>
        <v>1L</v>
      </c>
      <c r="P55" s="1332" t="str">
        <f>IF('Equipment Combat'!E40="","",'Equipment Combat'!E40&amp;" ("&amp;'Equipment Combat'!E147&amp;")")</f>
        <v/>
      </c>
      <c r="Q55" s="1333"/>
      <c r="R55" s="1334"/>
      <c r="S55" s="1335"/>
      <c r="T55" s="1333"/>
      <c r="U55" s="716" t="str">
        <f>IF('Equipment Combat'!E93="","",'Equipment Combat'!E93)</f>
        <v/>
      </c>
      <c r="V55" s="717" t="str">
        <f>IF('Equipment Combat'!E147="Stowed","["&amp;IF('Equipment Combat'!E254&lt;0.1,"",IF('Equipment Combat'!E254&lt;1,INT(10*'Equipment Combat'!E254)&amp;"L",INT('Equipment Combat'!E254)&amp;"B"))&amp;"]",IF('Equipment Combat'!E310&lt;0.1,"",IF('Equipment Combat'!E310&lt;1,INT(10*'Equipment Combat'!E310)&amp;"L",INT('Equipment Combat'!E310)&amp;"B")))</f>
        <v/>
      </c>
      <c r="W55" s="1332" t="str">
        <f>IF('Equipment Combat'!E53="","",'Equipment Combat'!E53&amp;" ("&amp;'Equipment Combat'!E160&amp;")")</f>
        <v/>
      </c>
      <c r="X55" s="1333"/>
      <c r="Y55" s="1335"/>
      <c r="Z55" s="1333"/>
      <c r="AA55" s="716" t="str">
        <f>IF('Equipment Combat'!E106="","",'Equipment Combat'!E106)</f>
        <v/>
      </c>
      <c r="AB55" s="717" t="str">
        <f>IF('Equipment Combat'!E160="Stowed","["&amp;IF('Equipment Combat'!E267&lt;0.1,"",IF('Equipment Combat'!E267&lt;1,INT(10*'Equipment Combat'!E267)&amp;"L",INT('Equipment Combat'!E267)&amp;"B"))&amp;"]",IF('Equipment Combat'!E323&lt;0.1,"",IF('Equipment Combat'!E323&lt;1,INT(10*'Equipment Combat'!E323)&amp;"L",INT('Equipment Combat'!E323)&amp;"B")))</f>
        <v/>
      </c>
      <c r="AC55" s="637"/>
    </row>
    <row r="56" spans="1:29" s="627" customFormat="1" ht="19.5" customHeight="1" x14ac:dyDescent="0.25">
      <c r="A56" s="656"/>
      <c r="B56" s="1332" t="str">
        <f>IF('Equipment Combat'!E15="","",'Equipment Combat'!E15&amp;" ("&amp;'Equipment Combat'!E122&amp;")")</f>
        <v>Waterskin (Stowed)</v>
      </c>
      <c r="C56" s="1333"/>
      <c r="D56" s="1333"/>
      <c r="E56" s="1334"/>
      <c r="F56" s="1335"/>
      <c r="G56" s="716">
        <f>IF('Equipment Combat'!E68="","",'Equipment Combat'!E68)</f>
        <v>1</v>
      </c>
      <c r="H56" s="717" t="str">
        <f>IF('Equipment Combat'!E122="Stowed","["&amp;IF('Equipment Combat'!E229&lt;0.1,"",IF('Equipment Combat'!E229&lt;1,INT(10*'Equipment Combat'!E229)&amp;"L",INT('Equipment Combat'!E229)&amp;"B"))&amp;"]",IF('Equipment Combat'!E285&lt;0.1,"",IF('Equipment Combat'!E285&lt;1,INT(10*'Equipment Combat'!E285)&amp;"L",INT('Equipment Combat'!E285)&amp;"B")))</f>
        <v>[1L]</v>
      </c>
      <c r="I56" s="1332" t="str">
        <f>IF('Equipment Combat'!E28="","",'Equipment Combat'!E28&amp;" ("&amp;'Equipment Combat'!E135&amp;")")</f>
        <v>Antiplague (Lesser) (Worn)</v>
      </c>
      <c r="J56" s="1333"/>
      <c r="K56" s="1334"/>
      <c r="L56" s="1335"/>
      <c r="M56" s="1333"/>
      <c r="N56" s="716">
        <f>IF('Equipment Combat'!E81="","",'Equipment Combat'!E81)</f>
        <v>1</v>
      </c>
      <c r="O56" s="717" t="str">
        <f>IF('Equipment Combat'!E135="Stowed","["&amp;IF('Equipment Combat'!E242&lt;0.1,"",IF('Equipment Combat'!E242&lt;1,INT(10*'Equipment Combat'!E242)&amp;"L",INT('Equipment Combat'!E242)&amp;"B"))&amp;"]",IF('Equipment Combat'!E298&lt;0.1,"",IF('Equipment Combat'!E298&lt;1,INT(10*'Equipment Combat'!E298)&amp;"L",INT('Equipment Combat'!E298)&amp;"B")))</f>
        <v>1L</v>
      </c>
      <c r="P56" s="1332" t="str">
        <f>IF('Equipment Combat'!E41="","",'Equipment Combat'!E41&amp;" ("&amp;'Equipment Combat'!E148&amp;")")</f>
        <v/>
      </c>
      <c r="Q56" s="1333"/>
      <c r="R56" s="1334"/>
      <c r="S56" s="1335"/>
      <c r="T56" s="1333"/>
      <c r="U56" s="716" t="str">
        <f>IF('Equipment Combat'!E94="","",'Equipment Combat'!E94)</f>
        <v/>
      </c>
      <c r="V56" s="717" t="str">
        <f>IF('Equipment Combat'!E148="Stowed","["&amp;IF('Equipment Combat'!E255&lt;0.1,"",IF('Equipment Combat'!E255&lt;1,INT(10*'Equipment Combat'!E255)&amp;"L",INT('Equipment Combat'!E255)&amp;"B"))&amp;"]",IF('Equipment Combat'!E311&lt;0.1,"",IF('Equipment Combat'!E311&lt;1,INT(10*'Equipment Combat'!E311)&amp;"L",INT('Equipment Combat'!E311)&amp;"B")))</f>
        <v/>
      </c>
      <c r="W56" s="1332" t="str">
        <f>IF('Equipment Combat'!E54="","",'Equipment Combat'!E54&amp;" ("&amp;'Equipment Combat'!E161&amp;")")</f>
        <v/>
      </c>
      <c r="X56" s="1333"/>
      <c r="Y56" s="1335"/>
      <c r="Z56" s="1333"/>
      <c r="AA56" s="716" t="str">
        <f>IF('Equipment Combat'!E107="","",'Equipment Combat'!E107)</f>
        <v/>
      </c>
      <c r="AB56" s="717" t="str">
        <f>IF('Equipment Combat'!E161="Stowed","["&amp;IF('Equipment Combat'!E268&lt;0.1,"",IF('Equipment Combat'!E268&lt;1,INT(10*'Equipment Combat'!E268)&amp;"L",INT('Equipment Combat'!E268)&amp;"B"))&amp;"]",IF('Equipment Combat'!E324&lt;0.1,"",IF('Equipment Combat'!E324&lt;1,INT(10*'Equipment Combat'!E324)&amp;"L",INT('Equipment Combat'!E324)&amp;"B")))</f>
        <v/>
      </c>
      <c r="AC56" s="637"/>
    </row>
    <row r="57" spans="1:29" s="627" customFormat="1" ht="19.5" customHeight="1" x14ac:dyDescent="0.25">
      <c r="A57" s="656"/>
      <c r="B57" s="1332" t="str">
        <f>IF('Equipment Combat'!E16="","",'Equipment Combat'!E16&amp;" ("&amp;'Equipment Combat'!E123&amp;")")</f>
        <v>Javelin (1d6) (Worn)</v>
      </c>
      <c r="C57" s="1333"/>
      <c r="D57" s="1333"/>
      <c r="E57" s="1334"/>
      <c r="F57" s="1335"/>
      <c r="G57" s="716">
        <f>IF('Equipment Combat'!E69="","",'Equipment Combat'!E69)</f>
        <v>4</v>
      </c>
      <c r="H57" s="717" t="str">
        <f>IF('Equipment Combat'!E123="Stowed","["&amp;IF('Equipment Combat'!E230&lt;0.1,"",IF('Equipment Combat'!E230&lt;1,INT(10*'Equipment Combat'!E230)&amp;"L",INT('Equipment Combat'!E230)&amp;"B"))&amp;"]",IF('Equipment Combat'!E286&lt;0.1,"",IF('Equipment Combat'!E286&lt;1,INT(10*'Equipment Combat'!E286)&amp;"L",INT('Equipment Combat'!E286)&amp;"B")))</f>
        <v>4L</v>
      </c>
      <c r="I57" s="1332" t="str">
        <f>IF('Equipment Combat'!E29="","",'Equipment Combat'!E29&amp;" ("&amp;'Equipment Combat'!E136&amp;")")</f>
        <v/>
      </c>
      <c r="J57" s="1333"/>
      <c r="K57" s="1334"/>
      <c r="L57" s="1335"/>
      <c r="M57" s="1333"/>
      <c r="N57" s="716" t="str">
        <f>IF('Equipment Combat'!E82="","",'Equipment Combat'!E82)</f>
        <v/>
      </c>
      <c r="O57" s="717" t="str">
        <f>IF('Equipment Combat'!E136="Stowed","["&amp;IF('Equipment Combat'!E243&lt;0.1,"",IF('Equipment Combat'!E243&lt;1,INT(10*'Equipment Combat'!E243)&amp;"L",INT('Equipment Combat'!E243)&amp;"B"))&amp;"]",IF('Equipment Combat'!E299&lt;0.1,"",IF('Equipment Combat'!E299&lt;1,INT(10*'Equipment Combat'!E299)&amp;"L",INT('Equipment Combat'!E299)&amp;"B")))</f>
        <v/>
      </c>
      <c r="P57" s="1332" t="str">
        <f>IF('Equipment Combat'!E42="","",'Equipment Combat'!E42&amp;" ("&amp;'Equipment Combat'!E149&amp;")")</f>
        <v/>
      </c>
      <c r="Q57" s="1333"/>
      <c r="R57" s="1334"/>
      <c r="S57" s="1335"/>
      <c r="T57" s="1333"/>
      <c r="U57" s="716" t="str">
        <f>IF('Equipment Combat'!E95="","",'Equipment Combat'!E95)</f>
        <v/>
      </c>
      <c r="V57" s="717" t="str">
        <f>IF('Equipment Combat'!E149="Stowed","["&amp;IF('Equipment Combat'!E256&lt;0.1,"",IF('Equipment Combat'!E256&lt;1,INT(10*'Equipment Combat'!E256)&amp;"L",INT('Equipment Combat'!E256)&amp;"B"))&amp;"]",IF('Equipment Combat'!E312&lt;0.1,"",IF('Equipment Combat'!E312&lt;1,INT(10*'Equipment Combat'!E312)&amp;"L",INT('Equipment Combat'!E312)&amp;"B")))</f>
        <v/>
      </c>
      <c r="W57" s="1332" t="str">
        <f>IF('Equipment Combat'!E55="","",'Equipment Combat'!E55&amp;" ("&amp;'Equipment Combat'!E162&amp;")")</f>
        <v/>
      </c>
      <c r="X57" s="1333"/>
      <c r="Y57" s="1335"/>
      <c r="Z57" s="1333"/>
      <c r="AA57" s="716" t="str">
        <f>IF('Equipment Combat'!E108="","",'Equipment Combat'!E108)</f>
        <v/>
      </c>
      <c r="AB57" s="717" t="str">
        <f>IF('Equipment Combat'!E162="Stowed","["&amp;IF('Equipment Combat'!E269&lt;0.1,"",IF('Equipment Combat'!E269&lt;1,INT(10*'Equipment Combat'!E269)&amp;"L",INT('Equipment Combat'!E269)&amp;"B"))&amp;"]",IF('Equipment Combat'!E325&lt;0.1,"",IF('Equipment Combat'!E325&lt;1,INT(10*'Equipment Combat'!E325)&amp;"L",INT('Equipment Combat'!E325)&amp;"B")))</f>
        <v/>
      </c>
      <c r="AC57" s="637"/>
    </row>
    <row r="58" spans="1:29" s="627" customFormat="1" ht="19.5" customHeight="1" x14ac:dyDescent="0.25">
      <c r="A58" s="656"/>
      <c r="B58" s="1332" t="str">
        <f>IF('Equipment Combat'!E17="","",'Equipment Combat'!E17&amp;" ("&amp;'Equipment Combat'!E124&amp;")")</f>
        <v>Clan Dagger (1d4) (Worn)</v>
      </c>
      <c r="C58" s="1333"/>
      <c r="D58" s="1333"/>
      <c r="E58" s="1333"/>
      <c r="F58" s="1335"/>
      <c r="G58" s="716">
        <f>IF('Equipment Combat'!E70="","",'Equipment Combat'!E70)</f>
        <v>1</v>
      </c>
      <c r="H58" s="717" t="str">
        <f>IF('Equipment Combat'!E124="Stowed","["&amp;IF('Equipment Combat'!E231&lt;0.1,"",IF('Equipment Combat'!E231&lt;1,INT(10*'Equipment Combat'!E231)&amp;"L",INT('Equipment Combat'!E231)&amp;"B"))&amp;"]",IF('Equipment Combat'!E287&lt;0.1,"",IF('Equipment Combat'!E287&lt;1,INT(10*'Equipment Combat'!E287)&amp;"L",INT('Equipment Combat'!E287)&amp;"B")))</f>
        <v>1L</v>
      </c>
      <c r="I58" s="1332" t="str">
        <f>IF('Equipment Combat'!E30="","",'Equipment Combat'!E30&amp;" ("&amp;'Equipment Combat'!E137&amp;")")</f>
        <v/>
      </c>
      <c r="J58" s="1333"/>
      <c r="K58" s="1333"/>
      <c r="L58" s="1335"/>
      <c r="M58" s="1333"/>
      <c r="N58" s="716" t="str">
        <f>IF('Equipment Combat'!E83="","",'Equipment Combat'!E83)</f>
        <v/>
      </c>
      <c r="O58" s="717" t="str">
        <f>IF('Equipment Combat'!E137="Stowed","["&amp;IF('Equipment Combat'!E244&lt;0.1,"",IF('Equipment Combat'!E244&lt;1,INT(10*'Equipment Combat'!E244)&amp;"L",INT('Equipment Combat'!E244)&amp;"B"))&amp;"]",IF('Equipment Combat'!E300&lt;0.1,"",IF('Equipment Combat'!E300&lt;1,INT(10*'Equipment Combat'!E300)&amp;"L",INT('Equipment Combat'!E300)&amp;"B")))</f>
        <v/>
      </c>
      <c r="P58" s="1332" t="str">
        <f>IF('Equipment Combat'!E43="","",'Equipment Combat'!E43&amp;" ("&amp;'Equipment Combat'!E150&amp;")")</f>
        <v/>
      </c>
      <c r="Q58" s="1333"/>
      <c r="R58" s="1333"/>
      <c r="S58" s="1335"/>
      <c r="T58" s="1333"/>
      <c r="U58" s="716" t="str">
        <f>IF('Equipment Combat'!E96="","",'Equipment Combat'!E96)</f>
        <v/>
      </c>
      <c r="V58" s="717" t="str">
        <f>IF('Equipment Combat'!E150="Stowed","["&amp;IF('Equipment Combat'!E257&lt;0.1,"",IF('Equipment Combat'!E257&lt;1,INT(10*'Equipment Combat'!E257)&amp;"L",INT('Equipment Combat'!E257)&amp;"B"))&amp;"]",IF('Equipment Combat'!E313&lt;0.1,"",IF('Equipment Combat'!E313&lt;1,INT(10*'Equipment Combat'!E313)&amp;"L",INT('Equipment Combat'!E313)&amp;"B")))</f>
        <v/>
      </c>
      <c r="W58" s="1332" t="str">
        <f>IF('Equipment Combat'!E56="","",'Equipment Combat'!E56&amp;" ("&amp;'Equipment Combat'!E163&amp;")")</f>
        <v/>
      </c>
      <c r="X58" s="1333"/>
      <c r="Y58" s="1335"/>
      <c r="Z58" s="1333"/>
      <c r="AA58" s="716" t="str">
        <f>IF('Equipment Combat'!E109="","",'Equipment Combat'!E109)</f>
        <v/>
      </c>
      <c r="AB58" s="717" t="str">
        <f>IF('Equipment Combat'!E163="Stowed","["&amp;IF('Equipment Combat'!E270&lt;0.1,"",IF('Equipment Combat'!E270&lt;1,INT(10*'Equipment Combat'!E270)&amp;"L",INT('Equipment Combat'!E270)&amp;"B"))&amp;"]",IF('Equipment Combat'!E326&lt;0.1,"",IF('Equipment Combat'!E326&lt;1,INT(10*'Equipment Combat'!E326)&amp;"L",INT('Equipment Combat'!E326)&amp;"B")))</f>
        <v/>
      </c>
      <c r="AC58" s="637"/>
    </row>
    <row r="59" spans="1:29" s="627" customFormat="1" ht="19.5" customHeight="1" x14ac:dyDescent="0.25">
      <c r="A59" s="656"/>
      <c r="B59" s="1332" t="str">
        <f>IF('Equipment Combat'!E18="","",'Equipment Combat'!E18&amp;" ("&amp;'Equipment Combat'!E125&amp;")")</f>
        <v>Dwarven War Axe (1d8 / 1d12 2H) (Held)</v>
      </c>
      <c r="C59" s="1333"/>
      <c r="D59" s="1333"/>
      <c r="E59" s="1333"/>
      <c r="F59" s="1335"/>
      <c r="G59" s="716">
        <f>IF('Equipment Combat'!E71="","",'Equipment Combat'!E71)</f>
        <v>1</v>
      </c>
      <c r="H59" s="717" t="str">
        <f>IF('Equipment Combat'!E125="Stowed","["&amp;IF('Equipment Combat'!E232&lt;0.1,"",IF('Equipment Combat'!E232&lt;1,INT(10*'Equipment Combat'!E232)&amp;"L",INT('Equipment Combat'!E232)&amp;"B"))&amp;"]",IF('Equipment Combat'!E288&lt;0.1,"",IF('Equipment Combat'!E288&lt;1,INT(10*'Equipment Combat'!E288)&amp;"L",INT('Equipment Combat'!E288)&amp;"B")))</f>
        <v>2B</v>
      </c>
      <c r="I59" s="1332" t="str">
        <f>IF('Equipment Combat'!E31="","",'Equipment Combat'!E31&amp;" ("&amp;'Equipment Combat'!E138&amp;")")</f>
        <v/>
      </c>
      <c r="J59" s="1333"/>
      <c r="K59" s="1333"/>
      <c r="L59" s="1335"/>
      <c r="M59" s="1333"/>
      <c r="N59" s="716" t="str">
        <f>IF('Equipment Combat'!E84="","",'Equipment Combat'!E84)</f>
        <v/>
      </c>
      <c r="O59" s="717" t="str">
        <f>IF('Equipment Combat'!E138="Stowed","["&amp;IF('Equipment Combat'!E245&lt;0.1,"",IF('Equipment Combat'!E245&lt;1,INT(10*'Equipment Combat'!E245)&amp;"L",INT('Equipment Combat'!E245)&amp;"B"))&amp;"]",IF('Equipment Combat'!E301&lt;0.1,"",IF('Equipment Combat'!E301&lt;1,INT(10*'Equipment Combat'!E301)&amp;"L",INT('Equipment Combat'!E301)&amp;"B")))</f>
        <v/>
      </c>
      <c r="P59" s="1332" t="str">
        <f>IF('Equipment Combat'!E44="","",'Equipment Combat'!E44&amp;" ("&amp;'Equipment Combat'!E151&amp;")")</f>
        <v/>
      </c>
      <c r="Q59" s="1333"/>
      <c r="R59" s="1333"/>
      <c r="S59" s="1335"/>
      <c r="T59" s="1333"/>
      <c r="U59" s="716" t="str">
        <f>IF('Equipment Combat'!E97="","",'Equipment Combat'!E97)</f>
        <v/>
      </c>
      <c r="V59" s="717" t="str">
        <f>IF('Equipment Combat'!E151="Stowed","["&amp;IF('Equipment Combat'!E258&lt;0.1,"",IF('Equipment Combat'!E258&lt;1,INT(10*'Equipment Combat'!E258)&amp;"L",INT('Equipment Combat'!E258)&amp;"B"))&amp;"]",IF('Equipment Combat'!E314&lt;0.1,"",IF('Equipment Combat'!E314&lt;1,INT(10*'Equipment Combat'!E314)&amp;"L",INT('Equipment Combat'!E314)&amp;"B")))</f>
        <v/>
      </c>
      <c r="W59" s="1332" t="str">
        <f>IF('Equipment Combat'!E57="","",'Equipment Combat'!E57&amp;" ("&amp;'Equipment Combat'!E164&amp;")")</f>
        <v/>
      </c>
      <c r="X59" s="1333"/>
      <c r="Y59" s="1335"/>
      <c r="Z59" s="1333"/>
      <c r="AA59" s="716" t="str">
        <f>IF('Equipment Combat'!E110="","",'Equipment Combat'!E110)</f>
        <v/>
      </c>
      <c r="AB59" s="717" t="str">
        <f>IF('Equipment Combat'!E164="Stowed","["&amp;IF('Equipment Combat'!E271&lt;0.1,"",IF('Equipment Combat'!E271&lt;1,INT(10*'Equipment Combat'!E271)&amp;"L",INT('Equipment Combat'!E271)&amp;"B"))&amp;"]",IF('Equipment Combat'!E327&lt;0.1,"",IF('Equipment Combat'!E327&lt;1,INT(10*'Equipment Combat'!E327)&amp;"L",INT('Equipment Combat'!E327)&amp;"B")))</f>
        <v/>
      </c>
      <c r="AC59" s="637"/>
    </row>
    <row r="60" spans="1:29" s="627" customFormat="1" ht="19.5" customHeight="1" x14ac:dyDescent="0.25">
      <c r="A60" s="656"/>
      <c r="B60" s="1336" t="str">
        <f>IF('Equipment Combat'!E19="","",'Equipment Combat'!E19&amp;" ("&amp;'Equipment Combat'!E126&amp;")")</f>
        <v>Silver Flail (1d6) (Stowed)</v>
      </c>
      <c r="C60" s="1337"/>
      <c r="D60" s="1337"/>
      <c r="E60" s="1337"/>
      <c r="F60" s="1338"/>
      <c r="G60" s="915">
        <f>IF('Equipment Combat'!E72="","",'Equipment Combat'!E72)</f>
        <v>1</v>
      </c>
      <c r="H60" s="916" t="str">
        <f>IF('Equipment Combat'!E126="Stowed","["&amp;IF('Equipment Combat'!E233&lt;0.1,"",IF('Equipment Combat'!E233&lt;1,INT(10*'Equipment Combat'!E233)&amp;"L",INT('Equipment Combat'!E233)&amp;"B"))&amp;"]",IF('Equipment Combat'!E289&lt;0.1,"",IF('Equipment Combat'!E289&lt;1,INT(10*'Equipment Combat'!E289)&amp;"L",INT('Equipment Combat'!E289)&amp;"B")))</f>
        <v>[1B]</v>
      </c>
      <c r="I60" s="1336" t="str">
        <f>IF('Equipment Combat'!E32="","",'Equipment Combat'!E32&amp;" ("&amp;'Equipment Combat'!E139&amp;")")</f>
        <v/>
      </c>
      <c r="J60" s="1337"/>
      <c r="K60" s="1337"/>
      <c r="L60" s="1338"/>
      <c r="M60" s="1337"/>
      <c r="N60" s="915" t="str">
        <f>IF('Equipment Combat'!E85="","",'Equipment Combat'!E85)</f>
        <v/>
      </c>
      <c r="O60" s="916" t="str">
        <f>IF('Equipment Combat'!E139="Stowed","["&amp;IF('Equipment Combat'!E246&lt;0.1,"",IF('Equipment Combat'!E246&lt;1,INT(10*'Equipment Combat'!E246)&amp;"L",INT('Equipment Combat'!E246)&amp;"B"))&amp;"]",IF('Equipment Combat'!E302&lt;0.1,"",IF('Equipment Combat'!E302&lt;1,INT(10*'Equipment Combat'!E302)&amp;"L",INT('Equipment Combat'!E302)&amp;"B")))</f>
        <v/>
      </c>
      <c r="P60" s="1336" t="str">
        <f>IF('Equipment Combat'!E45="","",'Equipment Combat'!E45&amp;" ("&amp;'Equipment Combat'!E152&amp;")")</f>
        <v/>
      </c>
      <c r="Q60" s="1337"/>
      <c r="R60" s="1337"/>
      <c r="S60" s="1338"/>
      <c r="T60" s="1337"/>
      <c r="U60" s="915" t="str">
        <f>IF('Equipment Combat'!E98="","",'Equipment Combat'!E98)</f>
        <v/>
      </c>
      <c r="V60" s="916" t="str">
        <f>IF('Equipment Combat'!E152="Stowed","["&amp;IF('Equipment Combat'!E259&lt;0.1,"",IF('Equipment Combat'!E259&lt;1,INT(10*'Equipment Combat'!E259)&amp;"L",INT('Equipment Combat'!E259)&amp;"B"))&amp;"]",IF('Equipment Combat'!E315&lt;0.1,"",IF('Equipment Combat'!E315&lt;1,INT(10*'Equipment Combat'!E315)&amp;"L",INT('Equipment Combat'!E315)&amp;"B")))</f>
        <v/>
      </c>
      <c r="W60" s="1336" t="str">
        <f>IF('Equipment Combat'!E58="","",'Equipment Combat'!E58&amp;" ("&amp;'Equipment Combat'!E165&amp;")")</f>
        <v/>
      </c>
      <c r="X60" s="1337"/>
      <c r="Y60" s="1338"/>
      <c r="Z60" s="1337"/>
      <c r="AA60" s="915" t="str">
        <f>IF('Equipment Combat'!E111="","",'Equipment Combat'!E111)</f>
        <v/>
      </c>
      <c r="AB60" s="916" t="str">
        <f>IF('Equipment Combat'!E165="Stowed","["&amp;IF('Equipment Combat'!E272&lt;0.1,"",IF('Equipment Combat'!E272&lt;1,INT(10*'Equipment Combat'!E272)&amp;"L",INT('Equipment Combat'!E272)&amp;"B"))&amp;"]",IF('Equipment Combat'!E328&lt;0.1,"",IF('Equipment Combat'!E328&lt;1,INT(10*'Equipment Combat'!E328)&amp;"L",INT('Equipment Combat'!E328)&amp;"B")))</f>
        <v/>
      </c>
      <c r="AC60" s="637"/>
    </row>
    <row r="61" spans="1:29" s="627" customFormat="1"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s="627" customFormat="1" ht="19.5" customHeight="1" x14ac:dyDescent="0.3">
      <c r="A62" s="656"/>
      <c r="B62" s="718">
        <f>'Equipment Combat'!E3</f>
        <v>0</v>
      </c>
      <c r="C62" s="719">
        <f>'Equipment Combat'!E4</f>
        <v>8</v>
      </c>
      <c r="D62" s="719">
        <f>'Equipment Combat'!E5</f>
        <v>76</v>
      </c>
      <c r="E62" s="720">
        <f>'Equipment Combat'!E6</f>
        <v>1</v>
      </c>
      <c r="F62" s="948"/>
      <c r="G62" s="772">
        <f>'Equipment Combat'!E329</f>
        <v>9</v>
      </c>
      <c r="H62" s="454"/>
      <c r="I62" s="451">
        <f>5+K62</f>
        <v>9</v>
      </c>
      <c r="J62" s="453" t="s">
        <v>512</v>
      </c>
      <c r="K62" s="452">
        <f>'Equipment Combat'!E331</f>
        <v>4</v>
      </c>
      <c r="L62" s="454"/>
      <c r="M62" s="451">
        <f>10+O62</f>
        <v>14</v>
      </c>
      <c r="N62" s="453" t="s">
        <v>513</v>
      </c>
      <c r="O62" s="452">
        <f>K62</f>
        <v>4</v>
      </c>
      <c r="P62" s="454"/>
      <c r="Q62" s="644" t="s">
        <v>505</v>
      </c>
      <c r="R62" s="1544" t="str">
        <f>'Equipment Combat'!E333</f>
        <v>Fine</v>
      </c>
      <c r="S62" s="1545"/>
      <c r="T62" s="1545"/>
      <c r="U62" s="1545"/>
      <c r="V62" s="1545"/>
      <c r="W62" s="1546"/>
      <c r="X62" s="1544" t="str">
        <f>'Equipment Combat'!E274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IF(Feats!E5="","",Feats!E5)</f>
        <v>Dwarven Weapon Familiarity</v>
      </c>
      <c r="C65" s="1411"/>
      <c r="D65" s="1411"/>
      <c r="E65" s="1411"/>
      <c r="F65" s="1411"/>
      <c r="G65" s="1411"/>
      <c r="H65" s="1411"/>
      <c r="I65" s="1411"/>
      <c r="J65" s="1411" t="str">
        <f>IF(Feats!E5="","",Feats!M5)</f>
        <v>Ancestry feat</v>
      </c>
      <c r="K65" s="1411"/>
      <c r="L65" s="1411"/>
      <c r="M65" s="1411"/>
      <c r="N65" s="1412">
        <f>IF(Feats!E5="","",Feats!L5)</f>
        <v>1</v>
      </c>
      <c r="O65" s="1413"/>
      <c r="P65" s="1410" t="str">
        <f>IF(Feats!E29="","",Feats!E29)</f>
        <v>Barreling Charge</v>
      </c>
      <c r="Q65" s="1411"/>
      <c r="R65" s="1411"/>
      <c r="S65" s="1411"/>
      <c r="T65" s="1411"/>
      <c r="U65" s="1411"/>
      <c r="V65" s="1411"/>
      <c r="W65" s="1411"/>
      <c r="X65" s="1411" t="str">
        <f>IF(Feats!E29="","",Feats!M29)</f>
        <v>Class feat</v>
      </c>
      <c r="Y65" s="1411"/>
      <c r="Z65" s="1411"/>
      <c r="AA65" s="1411"/>
      <c r="AB65" s="1412">
        <f>IF(Feats!E29="","",Feats!L29)</f>
        <v>4</v>
      </c>
      <c r="AC65" s="637"/>
    </row>
    <row r="66" spans="1:29" ht="19.5" customHeight="1" x14ac:dyDescent="0.25">
      <c r="A66" s="656"/>
      <c r="B66" s="1414" t="str">
        <f>IF(Feats!E6="","",Feats!E6)</f>
        <v>Darkvision</v>
      </c>
      <c r="C66" s="1415"/>
      <c r="D66" s="1415"/>
      <c r="E66" s="1415"/>
      <c r="F66" s="1415"/>
      <c r="G66" s="1415"/>
      <c r="H66" s="1415"/>
      <c r="I66" s="1415"/>
      <c r="J66" s="1415" t="str">
        <f>IF(Feats!E6="","",Feats!M6)</f>
        <v>Ancestry vision</v>
      </c>
      <c r="K66" s="1415"/>
      <c r="L66" s="1415"/>
      <c r="M66" s="1415"/>
      <c r="N66" s="1416">
        <f>IF(Feats!E6="","",Feats!L6)</f>
        <v>1</v>
      </c>
      <c r="O66" s="1413"/>
      <c r="P66" s="1414" t="str">
        <f>IF(Feats!E30="","",Feats!E30)</f>
        <v/>
      </c>
      <c r="Q66" s="1415"/>
      <c r="R66" s="1415"/>
      <c r="S66" s="1415"/>
      <c r="T66" s="1415"/>
      <c r="U66" s="1415"/>
      <c r="V66" s="1415"/>
      <c r="W66" s="1415"/>
      <c r="X66" s="1415" t="str">
        <f>IF(Feats!E30="","",Feats!M30)</f>
        <v/>
      </c>
      <c r="Y66" s="1415"/>
      <c r="Z66" s="1415"/>
      <c r="AA66" s="1415"/>
      <c r="AB66" s="1416" t="str">
        <f>IF(Feats!E30="","",Feats!L30)</f>
        <v/>
      </c>
      <c r="AC66" s="637"/>
    </row>
    <row r="67" spans="1:29" ht="19.5" customHeight="1" x14ac:dyDescent="0.25">
      <c r="A67" s="656"/>
      <c r="B67" s="1414" t="str">
        <f>IF(Feats!E7="","",Feats!E7)</f>
        <v>Cat Fall</v>
      </c>
      <c r="C67" s="1415"/>
      <c r="D67" s="1415"/>
      <c r="E67" s="1415"/>
      <c r="F67" s="1415"/>
      <c r="G67" s="1415"/>
      <c r="H67" s="1415"/>
      <c r="I67" s="1415"/>
      <c r="J67" s="1415" t="str">
        <f>IF(Feats!E7="","",Feats!M7)</f>
        <v>Background Skill feat</v>
      </c>
      <c r="K67" s="1415"/>
      <c r="L67" s="1415"/>
      <c r="M67" s="1415"/>
      <c r="N67" s="1416">
        <f>IF(Feats!E7="","",Feats!L7)</f>
        <v>1</v>
      </c>
      <c r="O67" s="1413"/>
      <c r="P67" s="1414" t="str">
        <f>IF(Feats!E31="","",Feats!E31)</f>
        <v>Brutality</v>
      </c>
      <c r="Q67" s="1415"/>
      <c r="R67" s="1415"/>
      <c r="S67" s="1415"/>
      <c r="T67" s="1415"/>
      <c r="U67" s="1415"/>
      <c r="V67" s="1415"/>
      <c r="W67" s="1415"/>
      <c r="X67" s="1415" t="str">
        <f>IF(Feats!E31="","",Feats!M31)</f>
        <v>Class ability</v>
      </c>
      <c r="Y67" s="1415"/>
      <c r="Z67" s="1415"/>
      <c r="AA67" s="1415"/>
      <c r="AB67" s="1416">
        <f>IF(Feats!E31="","",Feats!L31)</f>
        <v>5</v>
      </c>
      <c r="AC67" s="637"/>
    </row>
    <row r="68" spans="1:29" ht="19.5" customHeight="1" x14ac:dyDescent="0.25">
      <c r="A68" s="656"/>
      <c r="B68" s="1414" t="str">
        <f>IF(Feats!E8="","",Feats!E8)</f>
        <v>Instinct = Spirit</v>
      </c>
      <c r="C68" s="1415"/>
      <c r="D68" s="1415"/>
      <c r="E68" s="1415"/>
      <c r="F68" s="1415"/>
      <c r="G68" s="1415"/>
      <c r="H68" s="1415"/>
      <c r="I68" s="1415"/>
      <c r="J68" s="1415" t="str">
        <f>IF(Feats!E8="","",Feats!M8)</f>
        <v>Class details</v>
      </c>
      <c r="K68" s="1415"/>
      <c r="L68" s="1415"/>
      <c r="M68" s="1415"/>
      <c r="N68" s="1416">
        <f>IF(Feats!E8="","",Feats!L8)</f>
        <v>1</v>
      </c>
      <c r="O68" s="1413"/>
      <c r="P68" s="1414" t="str">
        <f>IF(Feats!E32="","",Feats!E32)</f>
        <v/>
      </c>
      <c r="Q68" s="1415"/>
      <c r="R68" s="1415"/>
      <c r="S68" s="1415"/>
      <c r="T68" s="1415"/>
      <c r="U68" s="1415"/>
      <c r="V68" s="1415"/>
      <c r="W68" s="1415"/>
      <c r="X68" s="1415" t="str">
        <f>IF(Feats!E32="","",Feats!M32)</f>
        <v/>
      </c>
      <c r="Y68" s="1415"/>
      <c r="Z68" s="1415"/>
      <c r="AA68" s="1415"/>
      <c r="AB68" s="1416" t="str">
        <f>IF(Feats!E32="","",Feats!L32)</f>
        <v/>
      </c>
      <c r="AC68" s="637"/>
    </row>
    <row r="69" spans="1:29" ht="19.5" customHeight="1" x14ac:dyDescent="0.25">
      <c r="A69" s="656"/>
      <c r="B69" s="1414" t="str">
        <f>IF(Feats!E9="","",Feats!E9)</f>
        <v/>
      </c>
      <c r="C69" s="1415"/>
      <c r="D69" s="1415"/>
      <c r="E69" s="1415"/>
      <c r="F69" s="1415"/>
      <c r="G69" s="1415"/>
      <c r="H69" s="1415"/>
      <c r="I69" s="1415"/>
      <c r="J69" s="1415" t="str">
        <f>IF(Feats!E9="","",Feats!M9)</f>
        <v/>
      </c>
      <c r="K69" s="1415"/>
      <c r="L69" s="1415"/>
      <c r="M69" s="1415"/>
      <c r="N69" s="1416" t="str">
        <f>IF(Feats!E9="","",Feats!L9)</f>
        <v/>
      </c>
      <c r="O69" s="1413"/>
      <c r="P69" s="1414" t="str">
        <f>IF(Feats!E33="","",Feats!E33)</f>
        <v>Dwarven Weapon Cunning</v>
      </c>
      <c r="Q69" s="1415"/>
      <c r="R69" s="1415"/>
      <c r="S69" s="1415"/>
      <c r="T69" s="1415"/>
      <c r="U69" s="1415"/>
      <c r="V69" s="1415"/>
      <c r="W69" s="1415"/>
      <c r="X69" s="1415" t="str">
        <f>IF(Feats!E33="","",Feats!M33)</f>
        <v>Ancestry feat</v>
      </c>
      <c r="Y69" s="1415"/>
      <c r="Z69" s="1415"/>
      <c r="AA69" s="1415"/>
      <c r="AB69" s="1416">
        <f>IF(Feats!E33="","",Feats!L33)</f>
        <v>5</v>
      </c>
      <c r="AC69" s="637"/>
    </row>
    <row r="70" spans="1:29" ht="19.5" customHeight="1" x14ac:dyDescent="0.25">
      <c r="A70" s="656"/>
      <c r="B70" s="1414" t="str">
        <f>IF(Feats!E10="","",Feats!E10)</f>
        <v>Rage</v>
      </c>
      <c r="C70" s="1415"/>
      <c r="D70" s="1415"/>
      <c r="E70" s="1415"/>
      <c r="F70" s="1415"/>
      <c r="G70" s="1415"/>
      <c r="H70" s="1415"/>
      <c r="I70" s="1415"/>
      <c r="J70" s="1415" t="str">
        <f>IF(Feats!E10="","",Feats!M10)</f>
        <v>Class ability</v>
      </c>
      <c r="K70" s="1415"/>
      <c r="L70" s="1415"/>
      <c r="M70" s="1415"/>
      <c r="N70" s="1416">
        <f>IF(Feats!E10="","",Feats!L10)</f>
        <v>1</v>
      </c>
      <c r="O70" s="1413"/>
      <c r="P70" s="1414" t="str">
        <f>IF(Feats!E34="","",Feats!E34)</f>
        <v>Expert in Acrobatics</v>
      </c>
      <c r="Q70" s="1415"/>
      <c r="R70" s="1415"/>
      <c r="S70" s="1415"/>
      <c r="T70" s="1415"/>
      <c r="U70" s="1415"/>
      <c r="V70" s="1415"/>
      <c r="W70" s="1415"/>
      <c r="X70" s="1415" t="str">
        <f>IF(Feats!E34="","",Feats!M34)</f>
        <v>Skill increase</v>
      </c>
      <c r="Y70" s="1415"/>
      <c r="Z70" s="1415"/>
      <c r="AA70" s="1415"/>
      <c r="AB70" s="1416">
        <f>IF(Feats!E34="","",Feats!L34)</f>
        <v>5</v>
      </c>
      <c r="AC70" s="637"/>
    </row>
    <row r="71" spans="1:29" ht="19.5" customHeight="1" x14ac:dyDescent="0.25">
      <c r="A71" s="656"/>
      <c r="B71" s="1414" t="str">
        <f>IF(Feats!E11="","",Feats!E11)</f>
        <v>Anathema</v>
      </c>
      <c r="C71" s="1415"/>
      <c r="D71" s="1415"/>
      <c r="E71" s="1415"/>
      <c r="F71" s="1415"/>
      <c r="G71" s="1415"/>
      <c r="H71" s="1415"/>
      <c r="I71" s="1415"/>
      <c r="J71" s="1415" t="str">
        <f>IF(Feats!E11="","",Feats!M11)</f>
        <v>Class ability</v>
      </c>
      <c r="K71" s="1415"/>
      <c r="L71" s="1415"/>
      <c r="M71" s="1415"/>
      <c r="N71" s="1416">
        <f>IF(Feats!E11="","",Feats!L11)</f>
        <v>1</v>
      </c>
      <c r="O71" s="1413"/>
      <c r="P71" s="1414" t="str">
        <f>IF(Feats!E35="","",Feats!E35)</f>
        <v/>
      </c>
      <c r="Q71" s="1415"/>
      <c r="R71" s="1415"/>
      <c r="S71" s="1415"/>
      <c r="T71" s="1415"/>
      <c r="U71" s="1415"/>
      <c r="V71" s="1415"/>
      <c r="W71" s="1415"/>
      <c r="X71" s="1415" t="str">
        <f>IF(Feats!E35="","",Feats!M35)</f>
        <v/>
      </c>
      <c r="Y71" s="1415"/>
      <c r="Z71" s="1415"/>
      <c r="AA71" s="1415"/>
      <c r="AB71" s="1416" t="str">
        <f>IF(Feats!E35="","",Feats!L35)</f>
        <v/>
      </c>
      <c r="AC71" s="637"/>
    </row>
    <row r="72" spans="1:29" ht="19.5" hidden="1" customHeight="1" outlineLevel="1" x14ac:dyDescent="0.25">
      <c r="A72" s="656"/>
      <c r="B72" s="1414" t="str">
        <f>IF(Feats!E12="","",Feats!E12)</f>
        <v/>
      </c>
      <c r="C72" s="1415"/>
      <c r="D72" s="1415"/>
      <c r="E72" s="1415"/>
      <c r="F72" s="1415"/>
      <c r="G72" s="1415"/>
      <c r="H72" s="1415"/>
      <c r="I72" s="1415"/>
      <c r="J72" s="1415" t="str">
        <f>IF(Feats!E12="","",Feats!M12)</f>
        <v/>
      </c>
      <c r="K72" s="1415"/>
      <c r="L72" s="1415"/>
      <c r="M72" s="1415"/>
      <c r="N72" s="1416" t="str">
        <f>IF(Feats!E12="","",Feats!L12)</f>
        <v/>
      </c>
      <c r="O72" s="1413"/>
      <c r="P72" s="1414" t="str">
        <f>IF(Feats!E36="","",Feats!E36)</f>
        <v/>
      </c>
      <c r="Q72" s="1415"/>
      <c r="R72" s="1415"/>
      <c r="S72" s="1415"/>
      <c r="T72" s="1415"/>
      <c r="U72" s="1415"/>
      <c r="V72" s="1415"/>
      <c r="W72" s="1415"/>
      <c r="X72" s="1415" t="str">
        <f>IF(Feats!E36="","",Feats!M36)</f>
        <v/>
      </c>
      <c r="Y72" s="1415"/>
      <c r="Z72" s="1415"/>
      <c r="AA72" s="1415"/>
      <c r="AB72" s="1416" t="str">
        <f>IF(Feats!E36="","",Feats!L36)</f>
        <v/>
      </c>
      <c r="AC72" s="637"/>
    </row>
    <row r="73" spans="1:29" ht="19.5" hidden="1" customHeight="1" outlineLevel="1" x14ac:dyDescent="0.25">
      <c r="A73" s="656"/>
      <c r="B73" s="1414" t="str">
        <f>IF(Feats!E13="","",Feats!E13)</f>
        <v/>
      </c>
      <c r="C73" s="1415"/>
      <c r="D73" s="1415"/>
      <c r="E73" s="1415"/>
      <c r="F73" s="1415"/>
      <c r="G73" s="1415"/>
      <c r="H73" s="1415"/>
      <c r="I73" s="1415"/>
      <c r="J73" s="1415" t="str">
        <f>IF(Feats!E13="","",Feats!M13)</f>
        <v/>
      </c>
      <c r="K73" s="1415"/>
      <c r="L73" s="1415"/>
      <c r="M73" s="1415"/>
      <c r="N73" s="1416" t="str">
        <f>IF(Feats!E13="","",Feats!L13)</f>
        <v/>
      </c>
      <c r="O73" s="1413"/>
      <c r="P73" s="1414" t="str">
        <f>IF(Feats!E37="","",Feats!E37)</f>
        <v/>
      </c>
      <c r="Q73" s="1415"/>
      <c r="R73" s="1415"/>
      <c r="S73" s="1415"/>
      <c r="T73" s="1415"/>
      <c r="U73" s="1415"/>
      <c r="V73" s="1415"/>
      <c r="W73" s="1415"/>
      <c r="X73" s="1415" t="str">
        <f>IF(Feats!E37="","",Feats!M37)</f>
        <v/>
      </c>
      <c r="Y73" s="1415"/>
      <c r="Z73" s="1415"/>
      <c r="AA73" s="1415"/>
      <c r="AB73" s="1416" t="str">
        <f>IF(Feats!E37="","",Feats!L37)</f>
        <v/>
      </c>
      <c r="AC73" s="637"/>
    </row>
    <row r="74" spans="1:29" ht="19.5" hidden="1" customHeight="1" outlineLevel="1" x14ac:dyDescent="0.25">
      <c r="A74" s="656"/>
      <c r="B74" s="1414" t="str">
        <f>IF(Feats!E14="","",Feats!E14)</f>
        <v/>
      </c>
      <c r="C74" s="1415"/>
      <c r="D74" s="1415"/>
      <c r="E74" s="1415"/>
      <c r="F74" s="1415"/>
      <c r="G74" s="1415"/>
      <c r="H74" s="1415"/>
      <c r="I74" s="1415"/>
      <c r="J74" s="1415" t="str">
        <f>IF(Feats!E14="","",Feats!M14)</f>
        <v/>
      </c>
      <c r="K74" s="1415"/>
      <c r="L74" s="1415"/>
      <c r="M74" s="1415"/>
      <c r="N74" s="1416" t="str">
        <f>IF(Feats!E14="","",Feats!L14)</f>
        <v/>
      </c>
      <c r="O74" s="1413"/>
      <c r="P74" s="1414" t="str">
        <f>IF(Feats!E38="","",Feats!E38)</f>
        <v/>
      </c>
      <c r="Q74" s="1415"/>
      <c r="R74" s="1415"/>
      <c r="S74" s="1415"/>
      <c r="T74" s="1415"/>
      <c r="U74" s="1415"/>
      <c r="V74" s="1415"/>
      <c r="W74" s="1415"/>
      <c r="X74" s="1415" t="str">
        <f>IF(Feats!E38="","",Feats!M38)</f>
        <v/>
      </c>
      <c r="Y74" s="1415"/>
      <c r="Z74" s="1415"/>
      <c r="AA74" s="1415"/>
      <c r="AB74" s="1416" t="str">
        <f>IF(Feats!E38="","",Feats!L38)</f>
        <v/>
      </c>
      <c r="AC74" s="637"/>
    </row>
    <row r="75" spans="1:29" ht="19.5" hidden="1" customHeight="1" outlineLevel="1" x14ac:dyDescent="0.25">
      <c r="A75" s="656"/>
      <c r="B75" s="1414" t="str">
        <f>IF(Feats!E15="","",Feats!E15)</f>
        <v/>
      </c>
      <c r="C75" s="1415"/>
      <c r="D75" s="1415"/>
      <c r="E75" s="1415"/>
      <c r="F75" s="1415"/>
      <c r="G75" s="1415"/>
      <c r="H75" s="1415"/>
      <c r="I75" s="1415"/>
      <c r="J75" s="1415" t="str">
        <f>IF(Feats!E15="","",Feats!M15)</f>
        <v/>
      </c>
      <c r="K75" s="1415"/>
      <c r="L75" s="1415"/>
      <c r="M75" s="1415"/>
      <c r="N75" s="1416" t="str">
        <f>IF(Feats!E15="","",Feats!L15)</f>
        <v/>
      </c>
      <c r="O75" s="1413"/>
      <c r="P75" s="1414" t="str">
        <f>IF(Feats!E39="","",Feats!E39)</f>
        <v/>
      </c>
      <c r="Q75" s="1415"/>
      <c r="R75" s="1415"/>
      <c r="S75" s="1415"/>
      <c r="T75" s="1415"/>
      <c r="U75" s="1415"/>
      <c r="V75" s="1415"/>
      <c r="W75" s="1415"/>
      <c r="X75" s="1415" t="str">
        <f>IF(Feats!E39="","",Feats!M39)</f>
        <v/>
      </c>
      <c r="Y75" s="1415"/>
      <c r="Z75" s="1415"/>
      <c r="AA75" s="1415"/>
      <c r="AB75" s="1416" t="str">
        <f>IF(Feats!E39="","",Feats!L39)</f>
        <v/>
      </c>
      <c r="AC75" s="637"/>
    </row>
    <row r="76" spans="1:29" ht="19.5" customHeight="1" collapsed="1" x14ac:dyDescent="0.25">
      <c r="A76" s="656"/>
      <c r="B76" s="1414" t="str">
        <f>IF(Feats!E16="","",Feats!E16)</f>
        <v>Sudden Charge</v>
      </c>
      <c r="C76" s="1415"/>
      <c r="D76" s="1415"/>
      <c r="E76" s="1415"/>
      <c r="F76" s="1415"/>
      <c r="G76" s="1415"/>
      <c r="H76" s="1415"/>
      <c r="I76" s="1415"/>
      <c r="J76" s="1415" t="str">
        <f>IF(Feats!E16="","",Feats!M16)</f>
        <v>Class feat</v>
      </c>
      <c r="K76" s="1415"/>
      <c r="L76" s="1415"/>
      <c r="M76" s="1415"/>
      <c r="N76" s="1416">
        <f>IF(Feats!E16="","",Feats!L16)</f>
        <v>1</v>
      </c>
      <c r="O76" s="1413"/>
      <c r="P76" s="1414" t="str">
        <f>IF(Feats!E40="","",Feats!E40)</f>
        <v/>
      </c>
      <c r="Q76" s="1415"/>
      <c r="R76" s="1415"/>
      <c r="S76" s="1415"/>
      <c r="T76" s="1415"/>
      <c r="U76" s="1415"/>
      <c r="V76" s="1415"/>
      <c r="W76" s="1415"/>
      <c r="X76" s="1415" t="str">
        <f>IF(Feats!E40="","",Feats!M40)</f>
        <v/>
      </c>
      <c r="Y76" s="1415"/>
      <c r="Z76" s="1415"/>
      <c r="AA76" s="1415"/>
      <c r="AB76" s="1416" t="str">
        <f>IF(Feats!E40="","",Feats!L40)</f>
        <v/>
      </c>
      <c r="AC76" s="637"/>
    </row>
    <row r="77" spans="1:29" ht="19.5" hidden="1" customHeight="1" outlineLevel="1" x14ac:dyDescent="0.25">
      <c r="A77" s="656"/>
      <c r="B77" s="1414" t="str">
        <f>IF(Feats!E17="","",Feats!E17)</f>
        <v/>
      </c>
      <c r="C77" s="1415"/>
      <c r="D77" s="1415"/>
      <c r="E77" s="1415"/>
      <c r="F77" s="1415"/>
      <c r="G77" s="1415"/>
      <c r="H77" s="1415"/>
      <c r="I77" s="1415"/>
      <c r="J77" s="1415" t="str">
        <f>IF(Feats!E17="","",Feats!M17)</f>
        <v/>
      </c>
      <c r="K77" s="1415"/>
      <c r="L77" s="1415"/>
      <c r="M77" s="1415"/>
      <c r="N77" s="1416" t="str">
        <f>IF(Feats!E17="","",Feats!L17)</f>
        <v/>
      </c>
      <c r="O77" s="1413"/>
      <c r="P77" s="1414" t="str">
        <f>IF(Feats!E41="","",Feats!E41)</f>
        <v/>
      </c>
      <c r="Q77" s="1415"/>
      <c r="R77" s="1415"/>
      <c r="S77" s="1415"/>
      <c r="T77" s="1415"/>
      <c r="U77" s="1415"/>
      <c r="V77" s="1415"/>
      <c r="W77" s="1415"/>
      <c r="X77" s="1415" t="str">
        <f>IF(Feats!E41="","",Feats!M41)</f>
        <v/>
      </c>
      <c r="Y77" s="1415"/>
      <c r="Z77" s="1415"/>
      <c r="AA77" s="1415"/>
      <c r="AB77" s="1416" t="str">
        <f>IF(Feats!E41="","",Feats!L41)</f>
        <v/>
      </c>
      <c r="AC77" s="637"/>
    </row>
    <row r="78" spans="1:29" ht="19.5" customHeight="1" collapsed="1" x14ac:dyDescent="0.25">
      <c r="A78" s="656"/>
      <c r="B78" s="1414" t="str">
        <f>IF(Feats!E18="","",Feats!E18)</f>
        <v>Quick Jump (T Athletics)</v>
      </c>
      <c r="C78" s="1415"/>
      <c r="D78" s="1415"/>
      <c r="E78" s="1415"/>
      <c r="F78" s="1415"/>
      <c r="G78" s="1415"/>
      <c r="H78" s="1415"/>
      <c r="I78" s="1415"/>
      <c r="J78" s="1415" t="str">
        <f>IF(Feats!E18="","",Feats!M18)</f>
        <v>Skill feat</v>
      </c>
      <c r="K78" s="1415"/>
      <c r="L78" s="1415"/>
      <c r="M78" s="1415"/>
      <c r="N78" s="1416">
        <f>IF(Feats!E18="","",Feats!L18)</f>
        <v>2</v>
      </c>
      <c r="O78" s="1413"/>
      <c r="P78" s="1414" t="str">
        <f>IF(Feats!E42="","",Feats!E42)</f>
        <v/>
      </c>
      <c r="Q78" s="1415"/>
      <c r="R78" s="1415"/>
      <c r="S78" s="1415"/>
      <c r="T78" s="1415"/>
      <c r="U78" s="1415"/>
      <c r="V78" s="1415"/>
      <c r="W78" s="1415"/>
      <c r="X78" s="1415" t="str">
        <f>IF(Feats!E42="","",Feats!M42)</f>
        <v/>
      </c>
      <c r="Y78" s="1415"/>
      <c r="Z78" s="1415"/>
      <c r="AA78" s="1415"/>
      <c r="AB78" s="1416" t="str">
        <f>IF(Feats!E42="","",Feats!L42)</f>
        <v/>
      </c>
      <c r="AC78" s="637"/>
    </row>
    <row r="79" spans="1:29" ht="19.5" customHeight="1" x14ac:dyDescent="0.25">
      <c r="A79" s="656"/>
      <c r="B79" s="1414" t="str">
        <f>IF(Feats!E19="","",Feats!E19)</f>
        <v>Second Wind</v>
      </c>
      <c r="C79" s="1415"/>
      <c r="D79" s="1415"/>
      <c r="E79" s="1415"/>
      <c r="F79" s="1415"/>
      <c r="G79" s="1415"/>
      <c r="H79" s="1415"/>
      <c r="I79" s="1415"/>
      <c r="J79" s="1415" t="str">
        <f>IF(Feats!E19="","",Feats!M19)</f>
        <v>Class feat</v>
      </c>
      <c r="K79" s="1415"/>
      <c r="L79" s="1415"/>
      <c r="M79" s="1415"/>
      <c r="N79" s="1416">
        <f>IF(Feats!E19="","",Feats!L19)</f>
        <v>2</v>
      </c>
      <c r="O79" s="1413"/>
      <c r="P79" s="1414" t="str">
        <f>IF(Feats!E43="","",Feats!E43)</f>
        <v/>
      </c>
      <c r="Q79" s="1415"/>
      <c r="R79" s="1415"/>
      <c r="S79" s="1415"/>
      <c r="T79" s="1415"/>
      <c r="U79" s="1415"/>
      <c r="V79" s="1415"/>
      <c r="W79" s="1415"/>
      <c r="X79" s="1415" t="str">
        <f>IF(Feats!E43="","",Feats!M43)</f>
        <v/>
      </c>
      <c r="Y79" s="1415"/>
      <c r="Z79" s="1415"/>
      <c r="AA79" s="1415"/>
      <c r="AB79" s="1416" t="str">
        <f>IF(Feats!E43="","",Feats!L43)</f>
        <v/>
      </c>
      <c r="AC79" s="637"/>
    </row>
    <row r="80" spans="1:29" ht="19.5" hidden="1" customHeight="1" outlineLevel="1" x14ac:dyDescent="0.25">
      <c r="A80" s="656"/>
      <c r="B80" s="1414" t="str">
        <f>IF(Feats!E20="","",Feats!E20)</f>
        <v/>
      </c>
      <c r="C80" s="1415"/>
      <c r="D80" s="1415"/>
      <c r="E80" s="1415"/>
      <c r="F80" s="1415"/>
      <c r="G80" s="1415"/>
      <c r="H80" s="1415"/>
      <c r="I80" s="1415"/>
      <c r="J80" s="1415" t="str">
        <f>IF(Feats!E20="","",Feats!M20)</f>
        <v/>
      </c>
      <c r="K80" s="1415"/>
      <c r="L80" s="1415"/>
      <c r="M80" s="1415"/>
      <c r="N80" s="1416" t="str">
        <f>IF(Feats!E20="","",Feats!L20)</f>
        <v/>
      </c>
      <c r="O80" s="1413"/>
      <c r="P80" s="1414" t="str">
        <f>IF(Feats!E44="","",Feats!E44)</f>
        <v/>
      </c>
      <c r="Q80" s="1415"/>
      <c r="R80" s="1415"/>
      <c r="S80" s="1415"/>
      <c r="T80" s="1415"/>
      <c r="U80" s="1415"/>
      <c r="V80" s="1415"/>
      <c r="W80" s="1415"/>
      <c r="X80" s="1415" t="str">
        <f>IF(Feats!E44="","",Feats!M44)</f>
        <v/>
      </c>
      <c r="Y80" s="1415"/>
      <c r="Z80" s="1415"/>
      <c r="AA80" s="1415"/>
      <c r="AB80" s="1416" t="str">
        <f>IF(Feats!E44="","",Feats!L44)</f>
        <v/>
      </c>
      <c r="AC80" s="637"/>
    </row>
    <row r="81" spans="1:29" ht="19.5" hidden="1" customHeight="1" outlineLevel="1" x14ac:dyDescent="0.25">
      <c r="A81" s="656"/>
      <c r="B81" s="1414" t="str">
        <f>IF(Feats!E21="","",Feats!E21)</f>
        <v/>
      </c>
      <c r="C81" s="1415"/>
      <c r="D81" s="1415"/>
      <c r="E81" s="1415"/>
      <c r="F81" s="1415"/>
      <c r="G81" s="1415"/>
      <c r="H81" s="1415"/>
      <c r="I81" s="1415"/>
      <c r="J81" s="1415" t="str">
        <f>IF(Feats!E21="","",Feats!M21)</f>
        <v/>
      </c>
      <c r="K81" s="1415"/>
      <c r="L81" s="1415"/>
      <c r="M81" s="1415"/>
      <c r="N81" s="1416" t="str">
        <f>IF(Feats!E21="","",Feats!L21)</f>
        <v/>
      </c>
      <c r="O81" s="1413"/>
      <c r="P81" s="1414" t="str">
        <f>IF(Feats!E45="","",Feats!E45)</f>
        <v/>
      </c>
      <c r="Q81" s="1415"/>
      <c r="R81" s="1415"/>
      <c r="S81" s="1415"/>
      <c r="T81" s="1415"/>
      <c r="U81" s="1415"/>
      <c r="V81" s="1415"/>
      <c r="W81" s="1415"/>
      <c r="X81" s="1415" t="str">
        <f>IF(Feats!E45="","",Feats!M45)</f>
        <v/>
      </c>
      <c r="Y81" s="1415"/>
      <c r="Z81" s="1415"/>
      <c r="AA81" s="1415"/>
      <c r="AB81" s="1416" t="str">
        <f>IF(Feats!E45="","",Feats!L45)</f>
        <v/>
      </c>
      <c r="AC81" s="637"/>
    </row>
    <row r="82" spans="1:29" ht="19.5" customHeight="1" collapsed="1" x14ac:dyDescent="0.25">
      <c r="A82" s="656"/>
      <c r="B82" s="1414" t="str">
        <f>IF(Feats!E22="","",Feats!E22)</f>
        <v>Deny Advantage</v>
      </c>
      <c r="C82" s="1415"/>
      <c r="D82" s="1415"/>
      <c r="E82" s="1415"/>
      <c r="F82" s="1415"/>
      <c r="G82" s="1415"/>
      <c r="H82" s="1415"/>
      <c r="I82" s="1415"/>
      <c r="J82" s="1415" t="str">
        <f>IF(Feats!E22="","",Feats!M22)</f>
        <v>Class ability</v>
      </c>
      <c r="K82" s="1415"/>
      <c r="L82" s="1415"/>
      <c r="M82" s="1415"/>
      <c r="N82" s="1416">
        <f>IF(Feats!E22="","",Feats!L22)</f>
        <v>3</v>
      </c>
      <c r="O82" s="1413"/>
      <c r="P82" s="1414" t="str">
        <f>IF(Feats!E46="","",Feats!E46)</f>
        <v/>
      </c>
      <c r="Q82" s="1415"/>
      <c r="R82" s="1415"/>
      <c r="S82" s="1415"/>
      <c r="T82" s="1415"/>
      <c r="U82" s="1415"/>
      <c r="V82" s="1415"/>
      <c r="W82" s="1415"/>
      <c r="X82" s="1415" t="str">
        <f>IF(Feats!E46="","",Feats!M46)</f>
        <v/>
      </c>
      <c r="Y82" s="1415"/>
      <c r="Z82" s="1415"/>
      <c r="AA82" s="1415"/>
      <c r="AB82" s="1416" t="str">
        <f>IF(Feats!E46="","",Feats!L46)</f>
        <v/>
      </c>
      <c r="AC82" s="637"/>
    </row>
    <row r="83" spans="1:29" ht="19.5" hidden="1" customHeight="1" outlineLevel="1" x14ac:dyDescent="0.25">
      <c r="A83" s="656"/>
      <c r="B83" s="1414" t="str">
        <f>IF(Feats!E23="","",Feats!E23)</f>
        <v/>
      </c>
      <c r="C83" s="1415"/>
      <c r="D83" s="1415"/>
      <c r="E83" s="1415"/>
      <c r="F83" s="1415"/>
      <c r="G83" s="1415"/>
      <c r="H83" s="1415"/>
      <c r="I83" s="1415"/>
      <c r="J83" s="1415" t="str">
        <f>IF(Feats!E23="","",Feats!M23)</f>
        <v/>
      </c>
      <c r="K83" s="1415"/>
      <c r="L83" s="1415"/>
      <c r="M83" s="1415"/>
      <c r="N83" s="1416" t="str">
        <f>IF(Feats!E23="","",Feats!L23)</f>
        <v/>
      </c>
      <c r="O83" s="1413"/>
      <c r="P83" s="1414" t="str">
        <f>IF(Feats!E47="","",Feats!E47)</f>
        <v/>
      </c>
      <c r="Q83" s="1415"/>
      <c r="R83" s="1415"/>
      <c r="S83" s="1415"/>
      <c r="T83" s="1415"/>
      <c r="U83" s="1415"/>
      <c r="V83" s="1415"/>
      <c r="W83" s="1415"/>
      <c r="X83" s="1415" t="str">
        <f>IF(Feats!E47="","",Feats!M47)</f>
        <v/>
      </c>
      <c r="Y83" s="1415"/>
      <c r="Z83" s="1415"/>
      <c r="AA83" s="1415"/>
      <c r="AB83" s="1416" t="str">
        <f>IF(Feats!E47="","",Feats!L47)</f>
        <v/>
      </c>
      <c r="AC83" s="637"/>
    </row>
    <row r="84" spans="1:29" ht="19.5" hidden="1" customHeight="1" outlineLevel="1" x14ac:dyDescent="0.25">
      <c r="A84" s="656"/>
      <c r="B84" s="1414" t="str">
        <f>IF(Feats!E24="","",Feats!E24)</f>
        <v/>
      </c>
      <c r="C84" s="1415"/>
      <c r="D84" s="1415"/>
      <c r="E84" s="1415"/>
      <c r="F84" s="1415"/>
      <c r="G84" s="1415"/>
      <c r="H84" s="1415"/>
      <c r="I84" s="1415"/>
      <c r="J84" s="1415" t="str">
        <f>IF(Feats!E24="","",Feats!M24)</f>
        <v/>
      </c>
      <c r="K84" s="1415"/>
      <c r="L84" s="1415"/>
      <c r="M84" s="1415"/>
      <c r="N84" s="1416" t="str">
        <f>IF(Feats!E24="","",Feats!L24)</f>
        <v/>
      </c>
      <c r="O84" s="1413"/>
      <c r="P84" s="1414" t="str">
        <f>IF(Feats!E48="","",Feats!E48)</f>
        <v/>
      </c>
      <c r="Q84" s="1415"/>
      <c r="R84" s="1415"/>
      <c r="S84" s="1415"/>
      <c r="T84" s="1415"/>
      <c r="U84" s="1415"/>
      <c r="V84" s="1415"/>
      <c r="W84" s="1415"/>
      <c r="X84" s="1415" t="str">
        <f>IF(Feats!E48="","",Feats!M48)</f>
        <v/>
      </c>
      <c r="Y84" s="1415"/>
      <c r="Z84" s="1415"/>
      <c r="AA84" s="1415"/>
      <c r="AB84" s="1416" t="str">
        <f>IF(Feats!E48="","",Feats!L48)</f>
        <v/>
      </c>
      <c r="AC84" s="637"/>
    </row>
    <row r="85" spans="1:29" ht="19.5" customHeight="1" collapsed="1" x14ac:dyDescent="0.25">
      <c r="A85" s="656"/>
      <c r="B85" s="1414" t="str">
        <f>IF(Feats!E25="","",Feats!E25)</f>
        <v>Fleet</v>
      </c>
      <c r="C85" s="1415"/>
      <c r="D85" s="1415"/>
      <c r="E85" s="1415"/>
      <c r="F85" s="1415"/>
      <c r="G85" s="1415"/>
      <c r="H85" s="1415"/>
      <c r="I85" s="1415"/>
      <c r="J85" s="1415" t="str">
        <f>IF(Feats!E25="","",Feats!M25)</f>
        <v>General feat</v>
      </c>
      <c r="K85" s="1415"/>
      <c r="L85" s="1415"/>
      <c r="M85" s="1415"/>
      <c r="N85" s="1416">
        <f>IF(Feats!E25="","",Feats!L25)</f>
        <v>3</v>
      </c>
      <c r="O85" s="1413"/>
      <c r="P85" s="1414" t="str">
        <f>IF(Feats!E49="","",Feats!E49)</f>
        <v/>
      </c>
      <c r="Q85" s="1415"/>
      <c r="R85" s="1415"/>
      <c r="S85" s="1415"/>
      <c r="T85" s="1415"/>
      <c r="U85" s="1415"/>
      <c r="V85" s="1415"/>
      <c r="W85" s="1415"/>
      <c r="X85" s="1415" t="str">
        <f>IF(Feats!E49="","",Feats!M49)</f>
        <v/>
      </c>
      <c r="Y85" s="1415"/>
      <c r="Z85" s="1415"/>
      <c r="AA85" s="1415"/>
      <c r="AB85" s="1416" t="str">
        <f>IF(Feats!E49="","",Feats!L49)</f>
        <v/>
      </c>
      <c r="AC85" s="637"/>
    </row>
    <row r="86" spans="1:29" ht="19.5" customHeight="1" x14ac:dyDescent="0.25">
      <c r="A86" s="656"/>
      <c r="B86" s="1414" t="str">
        <f>IF(Feats!E26="","",Feats!E26)</f>
        <v>Expert in Athletics</v>
      </c>
      <c r="C86" s="1415"/>
      <c r="D86" s="1415"/>
      <c r="E86" s="1415"/>
      <c r="F86" s="1415"/>
      <c r="G86" s="1415"/>
      <c r="H86" s="1415"/>
      <c r="I86" s="1415"/>
      <c r="J86" s="1415" t="str">
        <f>IF(Feats!E26="","",Feats!M26)</f>
        <v>Skill increase</v>
      </c>
      <c r="K86" s="1415"/>
      <c r="L86" s="1415"/>
      <c r="M86" s="1415"/>
      <c r="N86" s="1416">
        <f>IF(Feats!E26="","",Feats!L26)</f>
        <v>3</v>
      </c>
      <c r="O86" s="1413"/>
      <c r="P86" s="1414" t="str">
        <f>IF(Feats!E50="","",Feats!E50)</f>
        <v/>
      </c>
      <c r="Q86" s="1415"/>
      <c r="R86" s="1415"/>
      <c r="S86" s="1415"/>
      <c r="T86" s="1415"/>
      <c r="U86" s="1415"/>
      <c r="V86" s="1415"/>
      <c r="W86" s="1415"/>
      <c r="X86" s="1415" t="str">
        <f>IF(Feats!E50="","",Feats!M50)</f>
        <v/>
      </c>
      <c r="Y86" s="1415"/>
      <c r="Z86" s="1415"/>
      <c r="AA86" s="1415"/>
      <c r="AB86" s="1416" t="str">
        <f>IF(Feats!E50="","",Feats!L50)</f>
        <v/>
      </c>
      <c r="AC86" s="637"/>
    </row>
    <row r="87" spans="1:29" ht="19.5" hidden="1" customHeight="1" outlineLevel="1" x14ac:dyDescent="0.25">
      <c r="A87" s="656"/>
      <c r="B87" s="1414" t="str">
        <f>IF(Feats!E27="","",Feats!E27)</f>
        <v/>
      </c>
      <c r="C87" s="1415"/>
      <c r="D87" s="1415"/>
      <c r="E87" s="1415"/>
      <c r="F87" s="1415"/>
      <c r="G87" s="1415"/>
      <c r="H87" s="1415"/>
      <c r="I87" s="1415"/>
      <c r="J87" s="1415" t="str">
        <f>IF(Feats!E27="","",Feats!M27)</f>
        <v/>
      </c>
      <c r="K87" s="1415"/>
      <c r="L87" s="1415"/>
      <c r="M87" s="1415"/>
      <c r="N87" s="1416" t="str">
        <f>IF(Feats!E27="","",Feats!L27)</f>
        <v/>
      </c>
      <c r="O87" s="1413"/>
      <c r="P87" s="1414"/>
      <c r="Q87" s="1415"/>
      <c r="R87" s="1415"/>
      <c r="S87" s="1415"/>
      <c r="T87" s="1415"/>
      <c r="U87" s="1415"/>
      <c r="V87" s="1415"/>
      <c r="W87" s="1415"/>
      <c r="X87" s="1415"/>
      <c r="Y87" s="1415"/>
      <c r="Z87" s="1415"/>
      <c r="AA87" s="1415"/>
      <c r="AB87" s="1417"/>
      <c r="AC87" s="637"/>
    </row>
    <row r="88" spans="1:29" ht="19.5" customHeight="1" collapsed="1" x14ac:dyDescent="0.25">
      <c r="A88" s="656"/>
      <c r="B88" s="1418" t="str">
        <f>IF(Feats!E28="","",Feats!E28)</f>
        <v>Powerful Leap</v>
      </c>
      <c r="C88" s="1419"/>
      <c r="D88" s="1419"/>
      <c r="E88" s="1419"/>
      <c r="F88" s="1419"/>
      <c r="G88" s="1419"/>
      <c r="H88" s="1419"/>
      <c r="I88" s="1420"/>
      <c r="J88" s="1419" t="str">
        <f>IF(Feats!E28="","",Feats!M28)</f>
        <v>Skill feat</v>
      </c>
      <c r="K88" s="1420"/>
      <c r="L88" s="1419"/>
      <c r="M88" s="1419"/>
      <c r="N88" s="1421">
        <f>IF(Feats!E28="","",Feats!L28)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hidden="1" customHeight="1" outlineLevel="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hidden="1" customHeight="1" outlineLevel="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hidden="1" customHeight="1" outlineLevel="1" x14ac:dyDescent="0.3">
      <c r="A92" s="643"/>
      <c r="B92" s="490"/>
      <c r="C92" s="490"/>
      <c r="D92" s="489" t="s">
        <v>324</v>
      </c>
      <c r="E92" s="490"/>
      <c r="F92" s="490"/>
      <c r="G92" s="490"/>
      <c r="H92" s="490"/>
      <c r="I92" s="489" t="s">
        <v>79</v>
      </c>
      <c r="J92" s="490"/>
      <c r="K92" s="640" t="s">
        <v>490</v>
      </c>
      <c r="L92" s="490"/>
      <c r="M92" s="669" t="s">
        <v>554</v>
      </c>
      <c r="N92" s="701" t="str">
        <f>IF(Spells!E17="","",Spells!E17)</f>
        <v/>
      </c>
      <c r="O92" s="702" t="str">
        <f>IF(Spells!E18="","",Spells!E18)</f>
        <v/>
      </c>
      <c r="P92" s="702" t="str">
        <f>IF(Spells!E19="","",Spells!E19)</f>
        <v/>
      </c>
      <c r="Q92" s="702" t="str">
        <f>IF(Spells!E20="","",Spells!E20)</f>
        <v/>
      </c>
      <c r="R92" s="702"/>
      <c r="S92" s="703"/>
      <c r="T92" s="703" t="str">
        <f>IF(Spells!E23="","",Spells!E23)</f>
        <v/>
      </c>
      <c r="U92" s="703" t="str">
        <f>IF(Spells!E24="","",Spells!E24)</f>
        <v/>
      </c>
      <c r="V92" s="703" t="str">
        <f>IF(Spells!E25="","",Spells!E25)</f>
        <v/>
      </c>
      <c r="W92" s="1226" t="str">
        <f>IF(Spells!E26="","",Spells!E26)</f>
        <v/>
      </c>
      <c r="X92" s="490"/>
      <c r="Y92" s="1265" t="s">
        <v>983</v>
      </c>
      <c r="Z92" s="490"/>
      <c r="AA92" s="490"/>
      <c r="AB92" s="490"/>
      <c r="AC92" s="637"/>
    </row>
    <row r="93" spans="1:29" ht="19.5" hidden="1" customHeight="1" outlineLevel="1" x14ac:dyDescent="0.25">
      <c r="A93" s="643"/>
      <c r="B93" s="768">
        <f>Skills!E38</f>
        <v>0</v>
      </c>
      <c r="C93" s="704" t="s">
        <v>502</v>
      </c>
      <c r="D93" s="705">
        <f>Skills!E207</f>
        <v>0</v>
      </c>
      <c r="E93" s="706">
        <f>Skills!E165</f>
        <v>0</v>
      </c>
      <c r="F93" s="1466"/>
      <c r="G93" s="707" t="s">
        <v>499</v>
      </c>
      <c r="H93" s="705">
        <f>Skills!E70</f>
        <v>4</v>
      </c>
      <c r="I93" s="708" t="str">
        <f>Skills!E71</f>
        <v>STR</v>
      </c>
      <c r="J93" s="490"/>
      <c r="K93" s="771">
        <f>Spells!E4</f>
        <v>0</v>
      </c>
      <c r="L93" s="490"/>
      <c r="M93" s="669" t="s">
        <v>490</v>
      </c>
      <c r="N93" s="492">
        <v>1</v>
      </c>
      <c r="O93" s="457">
        <v>2</v>
      </c>
      <c r="P93" s="457">
        <v>3</v>
      </c>
      <c r="Q93" s="457">
        <v>4</v>
      </c>
      <c r="R93" s="457">
        <v>5</v>
      </c>
      <c r="S93" s="457">
        <v>6</v>
      </c>
      <c r="T93" s="457">
        <v>7</v>
      </c>
      <c r="U93" s="457">
        <v>8</v>
      </c>
      <c r="V93" s="448">
        <v>9</v>
      </c>
      <c r="W93" s="1224">
        <v>10</v>
      </c>
      <c r="X93" s="490"/>
      <c r="Y93" s="771">
        <f>Spells!E16</f>
        <v>0</v>
      </c>
      <c r="Z93" s="490"/>
      <c r="AA93" s="490"/>
      <c r="AB93" s="490"/>
      <c r="AC93" s="637"/>
    </row>
    <row r="94" spans="1:29" ht="19.5" hidden="1" customHeight="1" outlineLevel="1" x14ac:dyDescent="0.3">
      <c r="A94" s="596"/>
      <c r="B94" s="769">
        <f>Skills!E39</f>
        <v>0</v>
      </c>
      <c r="C94" s="709" t="s">
        <v>552</v>
      </c>
      <c r="D94" s="710">
        <f>Skills!E208</f>
        <v>0</v>
      </c>
      <c r="E94" s="711">
        <f>Skills!E167</f>
        <v>0</v>
      </c>
      <c r="F94" s="1420"/>
      <c r="G94" s="712" t="s">
        <v>499</v>
      </c>
      <c r="H94" s="710">
        <f>Skills!E70</f>
        <v>4</v>
      </c>
      <c r="I94" s="713" t="str">
        <f>Skills!E71</f>
        <v>STR</v>
      </c>
      <c r="J94" s="490"/>
      <c r="K94" s="130"/>
      <c r="L94" s="493"/>
      <c r="M94" s="670" t="s">
        <v>459</v>
      </c>
      <c r="N94" s="698" t="str">
        <f>IF(Spells!E6="","",Spells!E6)</f>
        <v/>
      </c>
      <c r="O94" s="699" t="str">
        <f>IF(Spells!E7="","",Spells!E7)</f>
        <v/>
      </c>
      <c r="P94" s="699" t="str">
        <f>IF(Spells!E8="","",Spells!E8)</f>
        <v/>
      </c>
      <c r="Q94" s="699" t="str">
        <f>IF(Spells!E9="","",Spells!E9)</f>
        <v/>
      </c>
      <c r="R94" s="699"/>
      <c r="S94" s="699"/>
      <c r="T94" s="699"/>
      <c r="U94" s="699"/>
      <c r="V94" s="700"/>
      <c r="W94" s="1225"/>
      <c r="X94" s="671"/>
      <c r="Y94" s="130"/>
      <c r="Z94" s="490"/>
      <c r="AA94" s="490"/>
      <c r="AB94" s="490"/>
      <c r="AC94" s="637"/>
    </row>
    <row r="95" spans="1:29" s="450" customFormat="1" ht="19.5" hidden="1" customHeight="1" outlineLevel="1" x14ac:dyDescent="0.3">
      <c r="A95" s="672"/>
      <c r="B95" s="673" t="s">
        <v>555</v>
      </c>
      <c r="C95" s="674"/>
      <c r="D95" s="674"/>
      <c r="E95" s="674"/>
      <c r="F95" s="674"/>
      <c r="G95" s="674"/>
      <c r="H95" s="674"/>
      <c r="I95" s="674"/>
      <c r="J95" s="674"/>
      <c r="M95" s="670" t="s">
        <v>936</v>
      </c>
      <c r="N95" s="1218" t="str">
        <f>IF(Spells!E27="","",Spells!E27)</f>
        <v/>
      </c>
      <c r="O95" s="1219" t="str">
        <f>IF(Spells!E28="","",Spells!E28)</f>
        <v/>
      </c>
      <c r="P95" s="1219" t="str">
        <f>IF(Spells!E29="","",Spells!E29)</f>
        <v/>
      </c>
      <c r="Q95" s="1219" t="str">
        <f>IF(Spells!E30="","",Spells!E30)</f>
        <v/>
      </c>
      <c r="R95" s="1219" t="str">
        <f>IF(Spells!E31="","",Spells!E31)</f>
        <v/>
      </c>
      <c r="S95" s="1220" t="str">
        <f>IF(Spells!E32="","",Spells!E32)</f>
        <v/>
      </c>
      <c r="T95" s="1220" t="str">
        <f>IF(Spells!E33="","",Spells!E33)</f>
        <v/>
      </c>
      <c r="U95" s="1220" t="str">
        <f>IF(Spells!E34="","",Spells!E34)</f>
        <v/>
      </c>
      <c r="V95" s="1220" t="str">
        <f>IF(Spells!E35="","",Spells!E35)</f>
        <v/>
      </c>
      <c r="W95" s="1222" t="str">
        <f>IF(Spells!E36="","",Spells!E36)</f>
        <v/>
      </c>
      <c r="AB95" s="641"/>
      <c r="AC95" s="642"/>
    </row>
    <row r="96" spans="1:29" s="627" customFormat="1" ht="19.5" hidden="1" customHeight="1" outlineLevel="1" x14ac:dyDescent="0.3">
      <c r="A96" s="596"/>
      <c r="B96" s="838" t="str">
        <f>IF(Feats!E14="","",Feats!E14)</f>
        <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s="627" customFormat="1" ht="19.5" hidden="1" customHeight="1" outlineLevel="1" x14ac:dyDescent="0.3">
      <c r="A97" s="596"/>
      <c r="B97" s="676" t="s">
        <v>557</v>
      </c>
      <c r="C97" s="130"/>
      <c r="D97" s="130"/>
      <c r="E97" s="674"/>
      <c r="F97" s="491" t="str">
        <f>IF(Spells!E5="","",Spells!E5)</f>
        <v/>
      </c>
      <c r="G97" s="130"/>
      <c r="H97" s="674"/>
      <c r="I97" s="674"/>
      <c r="J97" s="130"/>
      <c r="K97" s="1423" t="str">
        <f>IF(Spells!E98="","","["&amp;Spells!E98&amp;"] "&amp;Spells!E99&amp;" ["&amp;Spells!E101&amp;"]")</f>
        <v/>
      </c>
      <c r="L97" s="1424"/>
      <c r="M97" s="1425"/>
      <c r="N97" s="1425"/>
      <c r="O97" s="1425"/>
      <c r="P97" s="1425"/>
      <c r="Q97" s="1425"/>
      <c r="R97" s="1426"/>
      <c r="S97" s="1404"/>
      <c r="T97" s="1427"/>
      <c r="U97" s="1424"/>
      <c r="V97" s="747"/>
      <c r="W97" s="747"/>
      <c r="X97" s="747"/>
      <c r="Y97" s="747"/>
      <c r="Z97" s="747"/>
      <c r="AA97" s="1350"/>
      <c r="AB97" s="838"/>
      <c r="AC97" s="637"/>
    </row>
    <row r="98" spans="1:29" s="627" customFormat="1" ht="19.5" hidden="1" customHeight="1" outlineLevel="1" x14ac:dyDescent="0.25">
      <c r="A98" s="596"/>
      <c r="B98" s="676" t="s">
        <v>165</v>
      </c>
      <c r="C98" s="130"/>
      <c r="D98" s="130"/>
      <c r="E98" s="130"/>
      <c r="F98" s="130"/>
      <c r="G98" s="130"/>
      <c r="H98" s="130"/>
      <c r="I98" s="130"/>
      <c r="J98" s="130"/>
      <c r="K98" s="1428" t="str">
        <f>IF(Spells!E100="","",Spells!E100)</f>
        <v/>
      </c>
      <c r="L98" s="749"/>
      <c r="M98" s="1429"/>
      <c r="N98" s="1429"/>
      <c r="O98" s="1429"/>
      <c r="P98" s="1429"/>
      <c r="Q98" s="1430"/>
      <c r="R98" s="1431"/>
      <c r="S98" s="1432"/>
      <c r="T98" s="1433"/>
      <c r="U98" s="749"/>
      <c r="V98" s="1434"/>
      <c r="W98" s="1434"/>
      <c r="X98" s="1434"/>
      <c r="Y98" s="1434"/>
      <c r="Z98" s="1434"/>
      <c r="AA98" s="1435"/>
      <c r="AB98" s="838"/>
      <c r="AC98" s="637"/>
    </row>
    <row r="99" spans="1:29" s="627" customFormat="1" ht="19.5" hidden="1" customHeight="1" outlineLevel="1" x14ac:dyDescent="0.25">
      <c r="A99" s="596"/>
      <c r="B99" s="1449" t="str">
        <f>IF(Spells!E54="","","["&amp;Spells!E54&amp;"] "&amp;Spells!E55&amp;" ["&amp;Spells!E57&amp;"]")</f>
        <v/>
      </c>
      <c r="C99" s="1330"/>
      <c r="D99" s="1330"/>
      <c r="E99" s="1450"/>
      <c r="F99" s="1450"/>
      <c r="G99" s="1451"/>
      <c r="H99" s="1452"/>
      <c r="I99" s="1453"/>
      <c r="J99" s="130"/>
      <c r="K99" s="1436" t="str">
        <f>IF(Spells!E102="","","["&amp;Spells!E102&amp;"] "&amp;Spells!E103&amp;" ["&amp;Spells!E105&amp;"]")</f>
        <v/>
      </c>
      <c r="L99" s="749"/>
      <c r="M99" s="1429"/>
      <c r="N99" s="1429"/>
      <c r="O99" s="1429"/>
      <c r="P99" s="1429"/>
      <c r="Q99" s="1430"/>
      <c r="R99" s="1431"/>
      <c r="S99" s="1432"/>
      <c r="T99" s="1433"/>
      <c r="U99" s="749"/>
      <c r="V99" s="1434"/>
      <c r="W99" s="1434"/>
      <c r="X99" s="1434"/>
      <c r="Y99" s="1434"/>
      <c r="Z99" s="1434"/>
      <c r="AA99" s="1435"/>
      <c r="AB99" s="838"/>
      <c r="AC99" s="637"/>
    </row>
    <row r="100" spans="1:29" s="627" customFormat="1" ht="19.5" hidden="1" customHeight="1" outlineLevel="1" x14ac:dyDescent="0.25">
      <c r="A100" s="596"/>
      <c r="B100" s="1454" t="str">
        <f>IF(Spells!E56="","",Spells!E56)</f>
        <v/>
      </c>
      <c r="C100" s="1334"/>
      <c r="D100" s="1334"/>
      <c r="E100" s="1455"/>
      <c r="F100" s="1455"/>
      <c r="G100" s="1455"/>
      <c r="H100" s="1456"/>
      <c r="I100" s="1457"/>
      <c r="J100" s="130"/>
      <c r="K100" s="1428" t="str">
        <f>IF(Spells!E104="","",Spells!E104)</f>
        <v/>
      </c>
      <c r="L100" s="749"/>
      <c r="M100" s="1429"/>
      <c r="N100" s="1429"/>
      <c r="O100" s="1429"/>
      <c r="P100" s="1429"/>
      <c r="Q100" s="1430"/>
      <c r="R100" s="1431"/>
      <c r="S100" s="1432"/>
      <c r="T100" s="1433"/>
      <c r="U100" s="749"/>
      <c r="V100" s="1434"/>
      <c r="W100" s="1434"/>
      <c r="X100" s="1434"/>
      <c r="Y100" s="1434"/>
      <c r="Z100" s="1434"/>
      <c r="AA100" s="1435"/>
      <c r="AB100" s="838"/>
      <c r="AC100" s="637"/>
    </row>
    <row r="101" spans="1:29" s="627" customFormat="1" ht="19.5" hidden="1" customHeight="1" outlineLevel="1" x14ac:dyDescent="0.25">
      <c r="A101" s="596"/>
      <c r="B101" s="1458" t="str">
        <f>IF(Spells!E58="","","["&amp;Spells!E58&amp;"] "&amp;Spells!E59&amp;" ["&amp;Spells!E61&amp;"]")</f>
        <v/>
      </c>
      <c r="C101" s="1335"/>
      <c r="D101" s="1334"/>
      <c r="E101" s="1455"/>
      <c r="F101" s="1456"/>
      <c r="G101" s="1455"/>
      <c r="H101" s="1459"/>
      <c r="I101" s="1457"/>
      <c r="J101" s="130"/>
      <c r="K101" s="1436" t="str">
        <f>IF(Spells!E106="","","["&amp;Spells!E106&amp;"] "&amp;Spells!E107&amp;" ["&amp;Spells!E109&amp;"]")</f>
        <v/>
      </c>
      <c r="L101" s="749"/>
      <c r="M101" s="1429"/>
      <c r="N101" s="1429"/>
      <c r="O101" s="1429"/>
      <c r="P101" s="1429"/>
      <c r="Q101" s="1430"/>
      <c r="R101" s="1431"/>
      <c r="S101" s="1432"/>
      <c r="T101" s="1433"/>
      <c r="U101" s="749"/>
      <c r="V101" s="1434"/>
      <c r="W101" s="1434"/>
      <c r="X101" s="1434"/>
      <c r="Y101" s="1434"/>
      <c r="Z101" s="1434"/>
      <c r="AA101" s="1435"/>
      <c r="AB101" s="838"/>
      <c r="AC101" s="637"/>
    </row>
    <row r="102" spans="1:29" s="627" customFormat="1" ht="19.5" hidden="1" customHeight="1" outlineLevel="1" x14ac:dyDescent="0.25">
      <c r="A102" s="596"/>
      <c r="B102" s="1454" t="str">
        <f>IF(Spells!E60="","",Spells!E60)</f>
        <v/>
      </c>
      <c r="C102" s="1460"/>
      <c r="D102" s="1334"/>
      <c r="E102" s="1455"/>
      <c r="F102" s="1456"/>
      <c r="G102" s="1455"/>
      <c r="H102" s="1456"/>
      <c r="I102" s="1457"/>
      <c r="J102" s="130"/>
      <c r="K102" s="1428" t="str">
        <f>IF(Spells!E108="","",Spells!E108)</f>
        <v/>
      </c>
      <c r="L102" s="749"/>
      <c r="M102" s="1429"/>
      <c r="N102" s="1429"/>
      <c r="O102" s="1429"/>
      <c r="P102" s="1429"/>
      <c r="Q102" s="1430"/>
      <c r="R102" s="1431"/>
      <c r="S102" s="1432"/>
      <c r="T102" s="1433"/>
      <c r="U102" s="749"/>
      <c r="V102" s="1434"/>
      <c r="W102" s="1434"/>
      <c r="X102" s="1434"/>
      <c r="Y102" s="1434"/>
      <c r="Z102" s="1434"/>
      <c r="AA102" s="1435"/>
      <c r="AB102" s="838"/>
      <c r="AC102" s="637"/>
    </row>
    <row r="103" spans="1:29" s="627" customFormat="1" ht="19.5" hidden="1" customHeight="1" outlineLevel="1" x14ac:dyDescent="0.25">
      <c r="A103" s="596"/>
      <c r="B103" s="1458" t="str">
        <f>IF(Spells!E62="","","["&amp;Spells!E62&amp;"] "&amp;Spells!E63&amp;" ["&amp;Spells!E65&amp;"]")</f>
        <v/>
      </c>
      <c r="C103" s="1335"/>
      <c r="D103" s="1334"/>
      <c r="E103" s="1455"/>
      <c r="F103" s="1456"/>
      <c r="G103" s="1455"/>
      <c r="H103" s="1459"/>
      <c r="I103" s="1457"/>
      <c r="J103" s="130"/>
      <c r="K103" s="1436" t="str">
        <f>IF(Spells!E110="","","["&amp;Spells!E110&amp;"] "&amp;Spells!E111&amp;" ["&amp;Spells!E113&amp;"]")</f>
        <v/>
      </c>
      <c r="L103" s="749"/>
      <c r="M103" s="1429"/>
      <c r="N103" s="1429"/>
      <c r="O103" s="1429"/>
      <c r="P103" s="1429"/>
      <c r="Q103" s="1430"/>
      <c r="R103" s="1431"/>
      <c r="S103" s="1432"/>
      <c r="T103" s="1433"/>
      <c r="U103" s="749"/>
      <c r="V103" s="1434"/>
      <c r="W103" s="1434"/>
      <c r="X103" s="1434"/>
      <c r="Y103" s="1434"/>
      <c r="Z103" s="1434"/>
      <c r="AA103" s="1435"/>
      <c r="AB103" s="838"/>
      <c r="AC103" s="637"/>
    </row>
    <row r="104" spans="1:29" s="627" customFormat="1" ht="19.5" hidden="1" customHeight="1" outlineLevel="1" x14ac:dyDescent="0.25">
      <c r="A104" s="596"/>
      <c r="B104" s="1454" t="str">
        <f>IF(Spells!E64="","",Spells!E64)</f>
        <v/>
      </c>
      <c r="C104" s="1460"/>
      <c r="D104" s="1334"/>
      <c r="E104" s="1455"/>
      <c r="F104" s="1456"/>
      <c r="G104" s="1455"/>
      <c r="H104" s="1456"/>
      <c r="I104" s="1457"/>
      <c r="J104" s="130"/>
      <c r="K104" s="1428" t="str">
        <f>IF(Spells!E112="","",Spells!E112)</f>
        <v/>
      </c>
      <c r="L104" s="749"/>
      <c r="M104" s="1429"/>
      <c r="N104" s="1429"/>
      <c r="O104" s="1429"/>
      <c r="P104" s="1430"/>
      <c r="Q104" s="1430"/>
      <c r="R104" s="1431"/>
      <c r="S104" s="1432"/>
      <c r="T104" s="1433"/>
      <c r="U104" s="749"/>
      <c r="V104" s="1434"/>
      <c r="W104" s="1434"/>
      <c r="X104" s="1434"/>
      <c r="Y104" s="1434"/>
      <c r="Z104" s="1434"/>
      <c r="AA104" s="1435"/>
      <c r="AB104" s="838"/>
      <c r="AC104" s="637"/>
    </row>
    <row r="105" spans="1:29" s="627" customFormat="1" ht="19.5" hidden="1" customHeight="1" outlineLevel="1" x14ac:dyDescent="0.25">
      <c r="A105" s="596"/>
      <c r="B105" s="1458" t="str">
        <f>IF(Spells!E66="","","["&amp;Spells!E66&amp;"] "&amp;Spells!E67&amp;" ["&amp;Spells!E69&amp;"]")</f>
        <v/>
      </c>
      <c r="C105" s="1335"/>
      <c r="D105" s="1334"/>
      <c r="E105" s="1455"/>
      <c r="F105" s="1456"/>
      <c r="G105" s="1455"/>
      <c r="H105" s="1459"/>
      <c r="I105" s="1457"/>
      <c r="J105" s="130"/>
      <c r="K105" s="1436" t="str">
        <f>IF(Spells!E114="","","["&amp;Spells!E114&amp;"] "&amp;Spells!E115&amp;" ["&amp;Spells!E117&amp;"]")</f>
        <v/>
      </c>
      <c r="L105" s="749"/>
      <c r="M105" s="1429"/>
      <c r="N105" s="1429"/>
      <c r="O105" s="1429"/>
      <c r="P105" s="1430"/>
      <c r="Q105" s="1430"/>
      <c r="R105" s="1431"/>
      <c r="S105" s="1432"/>
      <c r="T105" s="1433"/>
      <c r="U105" s="749"/>
      <c r="V105" s="1434"/>
      <c r="W105" s="1434"/>
      <c r="X105" s="1434"/>
      <c r="Y105" s="1434"/>
      <c r="Z105" s="1434"/>
      <c r="AA105" s="1435"/>
      <c r="AB105" s="838"/>
      <c r="AC105" s="637"/>
    </row>
    <row r="106" spans="1:29" s="627" customFormat="1" ht="19.5" hidden="1" customHeight="1" outlineLevel="1" x14ac:dyDescent="0.25">
      <c r="A106" s="596"/>
      <c r="B106" s="1454" t="str">
        <f>IF(Spells!E68="","",Spells!E68)</f>
        <v/>
      </c>
      <c r="C106" s="1460"/>
      <c r="D106" s="1334"/>
      <c r="E106" s="1455"/>
      <c r="F106" s="1456"/>
      <c r="G106" s="1455"/>
      <c r="H106" s="1456"/>
      <c r="I106" s="1457"/>
      <c r="J106" s="130"/>
      <c r="K106" s="1428" t="str">
        <f>IF(Spells!E116="","",Spells!E116)</f>
        <v/>
      </c>
      <c r="L106" s="749"/>
      <c r="M106" s="1429"/>
      <c r="N106" s="1429"/>
      <c r="O106" s="1429"/>
      <c r="P106" s="1430"/>
      <c r="Q106" s="1430"/>
      <c r="R106" s="1431"/>
      <c r="S106" s="1432"/>
      <c r="T106" s="1433"/>
      <c r="U106" s="749"/>
      <c r="V106" s="1434"/>
      <c r="W106" s="1434"/>
      <c r="X106" s="1434"/>
      <c r="Y106" s="1434"/>
      <c r="Z106" s="1434"/>
      <c r="AA106" s="1435"/>
      <c r="AB106" s="838"/>
      <c r="AC106" s="637"/>
    </row>
    <row r="107" spans="1:29" s="627" customFormat="1" ht="19.5" hidden="1" customHeight="1" outlineLevel="1" x14ac:dyDescent="0.25">
      <c r="A107" s="596"/>
      <c r="B107" s="1458" t="str">
        <f>IF(Spells!E70="","","["&amp;Spells!E70&amp;"] "&amp;Spells!E71&amp;" ["&amp;Spells!E73&amp;"]")</f>
        <v/>
      </c>
      <c r="C107" s="1335"/>
      <c r="D107" s="1334"/>
      <c r="E107" s="1455"/>
      <c r="F107" s="1456"/>
      <c r="G107" s="1455"/>
      <c r="H107" s="1459"/>
      <c r="I107" s="1457"/>
      <c r="J107" s="130"/>
      <c r="K107" s="1436" t="str">
        <f>IF(Spells!E118="","","["&amp;Spells!E118&amp;"] "&amp;Spells!E119&amp;" ["&amp;Spells!E121&amp;"]")</f>
        <v/>
      </c>
      <c r="L107" s="749"/>
      <c r="M107" s="1429"/>
      <c r="N107" s="1429"/>
      <c r="O107" s="1429"/>
      <c r="P107" s="1430"/>
      <c r="Q107" s="1430"/>
      <c r="R107" s="1431"/>
      <c r="S107" s="1432"/>
      <c r="T107" s="1433"/>
      <c r="U107" s="749"/>
      <c r="V107" s="1434"/>
      <c r="W107" s="1434"/>
      <c r="X107" s="1434"/>
      <c r="Y107" s="1434"/>
      <c r="Z107" s="1434"/>
      <c r="AA107" s="1435"/>
      <c r="AB107" s="838"/>
      <c r="AC107" s="637"/>
    </row>
    <row r="108" spans="1:29" s="627" customFormat="1" ht="19.5" hidden="1" customHeight="1" outlineLevel="1" x14ac:dyDescent="0.25">
      <c r="A108" s="596"/>
      <c r="B108" s="1454" t="str">
        <f>IF(Spells!E72="","",Spells!E72)</f>
        <v/>
      </c>
      <c r="C108" s="1460"/>
      <c r="D108" s="1334"/>
      <c r="E108" s="1455"/>
      <c r="F108" s="1456"/>
      <c r="G108" s="1455"/>
      <c r="H108" s="1459"/>
      <c r="I108" s="1457"/>
      <c r="J108" s="130"/>
      <c r="K108" s="1428" t="str">
        <f>IF(Spells!E120="","",Spells!E120)</f>
        <v/>
      </c>
      <c r="L108" s="749"/>
      <c r="M108" s="1429"/>
      <c r="N108" s="1429"/>
      <c r="O108" s="1429"/>
      <c r="P108" s="1430"/>
      <c r="Q108" s="1430"/>
      <c r="R108" s="1431"/>
      <c r="S108" s="1432"/>
      <c r="T108" s="1433"/>
      <c r="U108" s="749"/>
      <c r="V108" s="1434"/>
      <c r="W108" s="1434"/>
      <c r="X108" s="1434"/>
      <c r="Y108" s="1434"/>
      <c r="Z108" s="1434"/>
      <c r="AA108" s="1435"/>
      <c r="AB108" s="838"/>
      <c r="AC108" s="637"/>
    </row>
    <row r="109" spans="1:29" s="627" customFormat="1" ht="19.5" hidden="1" customHeight="1" outlineLevel="1" x14ac:dyDescent="0.25">
      <c r="A109" s="596"/>
      <c r="B109" s="1458" t="str">
        <f>IF(Spells!E74="","","["&amp;Spells!E74&amp;"] "&amp;Spells!E75&amp;" ["&amp;Spells!E77&amp;"]")</f>
        <v/>
      </c>
      <c r="C109" s="1335"/>
      <c r="D109" s="1334"/>
      <c r="E109" s="1455"/>
      <c r="F109" s="1455"/>
      <c r="G109" s="1455"/>
      <c r="H109" s="1459"/>
      <c r="I109" s="1457"/>
      <c r="J109" s="130"/>
      <c r="K109" s="1436" t="str">
        <f>IF(Spells!E122="","","["&amp;Spells!E122&amp;"] "&amp;Spells!E123&amp;" ["&amp;Spells!E125&amp;"]")</f>
        <v/>
      </c>
      <c r="L109" s="749"/>
      <c r="M109" s="1429"/>
      <c r="N109" s="1429"/>
      <c r="O109" s="1429"/>
      <c r="P109" s="1430"/>
      <c r="Q109" s="1430"/>
      <c r="R109" s="1431"/>
      <c r="S109" s="1432"/>
      <c r="T109" s="1433"/>
      <c r="U109" s="749"/>
      <c r="V109" s="1434"/>
      <c r="W109" s="1434"/>
      <c r="X109" s="1434"/>
      <c r="Y109" s="1434"/>
      <c r="Z109" s="1434"/>
      <c r="AA109" s="1435"/>
      <c r="AB109" s="838"/>
      <c r="AC109" s="637"/>
    </row>
    <row r="110" spans="1:29" s="627" customFormat="1" ht="19.5" hidden="1" customHeight="1" outlineLevel="1" x14ac:dyDescent="0.25">
      <c r="A110" s="596"/>
      <c r="B110" s="1454" t="str">
        <f>IF(Spells!E76="","",Spells!E76)</f>
        <v/>
      </c>
      <c r="C110" s="1460"/>
      <c r="D110" s="1334"/>
      <c r="E110" s="1455"/>
      <c r="F110" s="1455"/>
      <c r="G110" s="1455"/>
      <c r="H110" s="1459"/>
      <c r="I110" s="1457"/>
      <c r="J110" s="130"/>
      <c r="K110" s="1428" t="str">
        <f>IF(Spells!E124="","",Spells!E124)</f>
        <v/>
      </c>
      <c r="L110" s="749"/>
      <c r="M110" s="1429"/>
      <c r="N110" s="1429"/>
      <c r="O110" s="1429"/>
      <c r="P110" s="1430"/>
      <c r="Q110" s="1430"/>
      <c r="R110" s="1431"/>
      <c r="S110" s="1432"/>
      <c r="T110" s="1433"/>
      <c r="U110" s="749"/>
      <c r="V110" s="1434"/>
      <c r="W110" s="1434"/>
      <c r="X110" s="1434"/>
      <c r="Y110" s="1434"/>
      <c r="Z110" s="1434"/>
      <c r="AA110" s="1435"/>
      <c r="AB110" s="838"/>
      <c r="AC110" s="637"/>
    </row>
    <row r="111" spans="1:29" s="627" customFormat="1" ht="19.5" hidden="1" customHeight="1" outlineLevel="1" x14ac:dyDescent="0.25">
      <c r="A111" s="596"/>
      <c r="B111" s="1458" t="str">
        <f>IF(Spells!E78="","","["&amp;Spells!E78&amp;"] "&amp;Spells!E79&amp;" ["&amp;Spells!E81&amp;"]")</f>
        <v/>
      </c>
      <c r="C111" s="1335"/>
      <c r="D111" s="1334"/>
      <c r="E111" s="1455"/>
      <c r="F111" s="1455"/>
      <c r="G111" s="1455"/>
      <c r="H111" s="1459"/>
      <c r="I111" s="1457"/>
      <c r="J111" s="130"/>
      <c r="K111" s="1437" t="str">
        <f>IF(Spells!E126="","","["&amp;Spells!E126&amp;"] "&amp;Spells!E127&amp;" ["&amp;Spells!E129&amp;"]")</f>
        <v/>
      </c>
      <c r="L111" s="749"/>
      <c r="M111" s="1429"/>
      <c r="N111" s="1429"/>
      <c r="O111" s="1429"/>
      <c r="P111" s="1430"/>
      <c r="Q111" s="1430"/>
      <c r="R111" s="1431"/>
      <c r="S111" s="1432"/>
      <c r="T111" s="1438"/>
      <c r="U111" s="749"/>
      <c r="V111" s="1434"/>
      <c r="W111" s="1434"/>
      <c r="X111" s="1434"/>
      <c r="Y111" s="1434"/>
      <c r="Z111" s="1434"/>
      <c r="AA111" s="1435"/>
      <c r="AB111" s="838"/>
      <c r="AC111" s="637"/>
    </row>
    <row r="112" spans="1:29" s="627" customFormat="1" ht="19.5" hidden="1" customHeight="1" outlineLevel="1" x14ac:dyDescent="0.25">
      <c r="A112" s="596"/>
      <c r="B112" s="1454" t="str">
        <f>IF(Spells!E80="","",Spells!E80)</f>
        <v/>
      </c>
      <c r="C112" s="1335"/>
      <c r="D112" s="1334"/>
      <c r="E112" s="1455"/>
      <c r="F112" s="1455"/>
      <c r="G112" s="1455"/>
      <c r="H112" s="1459"/>
      <c r="I112" s="1457"/>
      <c r="J112" s="130"/>
      <c r="K112" s="1428" t="str">
        <f>IF(Spells!E128="","",Spells!E128)</f>
        <v/>
      </c>
      <c r="L112" s="749"/>
      <c r="M112" s="1429"/>
      <c r="N112" s="1429"/>
      <c r="O112" s="1429"/>
      <c r="P112" s="1430"/>
      <c r="Q112" s="1430"/>
      <c r="R112" s="1431"/>
      <c r="S112" s="1432"/>
      <c r="T112" s="1438"/>
      <c r="U112" s="1439"/>
      <c r="V112" s="1434"/>
      <c r="W112" s="1434"/>
      <c r="X112" s="1434"/>
      <c r="Y112" s="1434"/>
      <c r="Z112" s="1434"/>
      <c r="AA112" s="1435"/>
      <c r="AB112" s="838"/>
      <c r="AC112" s="637"/>
    </row>
    <row r="113" spans="1:29" s="627" customFormat="1" ht="19.5" hidden="1" customHeight="1" outlineLevel="1" x14ac:dyDescent="0.25">
      <c r="A113" s="596"/>
      <c r="B113" s="1458" t="str">
        <f>IF(Spells!E82="","","["&amp;Spells!E82&amp;"] "&amp;Spells!E83&amp;" ["&amp;Spells!E85&amp;"]")</f>
        <v/>
      </c>
      <c r="C113" s="1335"/>
      <c r="D113" s="1334"/>
      <c r="E113" s="1455"/>
      <c r="F113" s="1455"/>
      <c r="G113" s="1455"/>
      <c r="H113" s="1459"/>
      <c r="I113" s="1457"/>
      <c r="J113" s="130"/>
      <c r="K113" s="1446" t="str">
        <f>IF(Spells!E130="","","["&amp;Spells!E130&amp;"] "&amp;Spells!E131&amp;" ["&amp;Spells!E133&amp;"]")</f>
        <v/>
      </c>
      <c r="L113" s="749"/>
      <c r="M113" s="1429"/>
      <c r="N113" s="1429"/>
      <c r="O113" s="1429"/>
      <c r="P113" s="1430"/>
      <c r="Q113" s="1430"/>
      <c r="R113" s="1431"/>
      <c r="S113" s="1432"/>
      <c r="T113" s="1438"/>
      <c r="U113" s="1439"/>
      <c r="V113" s="1434"/>
      <c r="W113" s="1434"/>
      <c r="X113" s="1434"/>
      <c r="Y113" s="1434"/>
      <c r="Z113" s="1434"/>
      <c r="AA113" s="1435"/>
      <c r="AB113" s="838"/>
      <c r="AC113" s="637"/>
    </row>
    <row r="114" spans="1:29" s="627" customFormat="1" ht="19.5" hidden="1" customHeight="1" outlineLevel="1" x14ac:dyDescent="0.25">
      <c r="A114" s="596"/>
      <c r="B114" s="1454" t="str">
        <f>IF(Spells!E84="","",Spells!E84)</f>
        <v/>
      </c>
      <c r="C114" s="1335"/>
      <c r="D114" s="1334"/>
      <c r="E114" s="1455"/>
      <c r="F114" s="1455"/>
      <c r="G114" s="1455"/>
      <c r="H114" s="1459"/>
      <c r="I114" s="1457"/>
      <c r="J114" s="130"/>
      <c r="K114" s="1428" t="str">
        <f>IF(Spells!E132="","",Spells!E132)</f>
        <v/>
      </c>
      <c r="L114" s="1439"/>
      <c r="M114" s="1429"/>
      <c r="N114" s="1429"/>
      <c r="O114" s="1429"/>
      <c r="P114" s="1430"/>
      <c r="Q114" s="1430"/>
      <c r="R114" s="1431"/>
      <c r="S114" s="1432"/>
      <c r="T114" s="1438"/>
      <c r="U114" s="1439"/>
      <c r="V114" s="1434"/>
      <c r="W114" s="1434"/>
      <c r="X114" s="1434"/>
      <c r="Y114" s="1434"/>
      <c r="Z114" s="1434"/>
      <c r="AA114" s="1435"/>
      <c r="AB114" s="838"/>
      <c r="AC114" s="637"/>
    </row>
    <row r="115" spans="1:29" s="627" customFormat="1" ht="19.5" hidden="1" customHeight="1" outlineLevel="1" x14ac:dyDescent="0.25">
      <c r="A115" s="596"/>
      <c r="B115" s="1458" t="str">
        <f>IF(Spells!E86="","","["&amp;Spells!E86&amp;"] "&amp;Spells!E87&amp;" ["&amp;Spells!E89&amp;"]")</f>
        <v/>
      </c>
      <c r="C115" s="1335"/>
      <c r="D115" s="1334"/>
      <c r="E115" s="1455"/>
      <c r="F115" s="1455"/>
      <c r="G115" s="1455"/>
      <c r="H115" s="1459"/>
      <c r="I115" s="1457"/>
      <c r="J115" s="130"/>
      <c r="K115" s="1437" t="str">
        <f>IF(Spells!E134="","","["&amp;Spells!E134&amp;"] "&amp;Spells!E135&amp;" ["&amp;Spells!E137&amp;"]")</f>
        <v/>
      </c>
      <c r="L115" s="1439"/>
      <c r="M115" s="1429"/>
      <c r="N115" s="1429"/>
      <c r="O115" s="1429"/>
      <c r="P115" s="1430"/>
      <c r="Q115" s="1430"/>
      <c r="R115" s="1431"/>
      <c r="S115" s="1432"/>
      <c r="T115" s="1438"/>
      <c r="U115" s="1439"/>
      <c r="V115" s="1434"/>
      <c r="W115" s="1434"/>
      <c r="X115" s="1434"/>
      <c r="Y115" s="1434"/>
      <c r="Z115" s="1434"/>
      <c r="AA115" s="1435"/>
      <c r="AB115" s="838"/>
      <c r="AC115" s="637"/>
    </row>
    <row r="116" spans="1:29" s="627" customFormat="1" ht="19.5" hidden="1" customHeight="1" outlineLevel="1" x14ac:dyDescent="0.25">
      <c r="A116" s="596"/>
      <c r="B116" s="1454" t="str">
        <f>IF(Spells!E88="","",Spells!E88)</f>
        <v/>
      </c>
      <c r="C116" s="1335"/>
      <c r="D116" s="1334"/>
      <c r="E116" s="1455"/>
      <c r="F116" s="1455"/>
      <c r="G116" s="1455"/>
      <c r="H116" s="1459"/>
      <c r="I116" s="1457"/>
      <c r="J116" s="130"/>
      <c r="K116" s="1428" t="str">
        <f>IF(Spells!E136="","",Spells!E136)</f>
        <v/>
      </c>
      <c r="L116" s="1439"/>
      <c r="M116" s="1429"/>
      <c r="N116" s="1429"/>
      <c r="O116" s="1429"/>
      <c r="P116" s="1430"/>
      <c r="Q116" s="1430"/>
      <c r="R116" s="1431"/>
      <c r="S116" s="1432"/>
      <c r="T116" s="1438"/>
      <c r="U116" s="1439"/>
      <c r="V116" s="1434"/>
      <c r="W116" s="1434"/>
      <c r="X116" s="1434"/>
      <c r="Y116" s="1434"/>
      <c r="Z116" s="1434"/>
      <c r="AA116" s="1435"/>
      <c r="AB116" s="838"/>
      <c r="AC116" s="637"/>
    </row>
    <row r="117" spans="1:29" s="627" customFormat="1" ht="19.5" hidden="1" customHeight="1" outlineLevel="1" x14ac:dyDescent="0.25">
      <c r="A117" s="596"/>
      <c r="B117" s="1458" t="str">
        <f>IF(Spells!E90="","","["&amp;Spells!E90&amp;"] "&amp;Spells!E91&amp;" ["&amp;Spells!E93&amp;"]")</f>
        <v/>
      </c>
      <c r="C117" s="1335"/>
      <c r="D117" s="1334"/>
      <c r="E117" s="1455"/>
      <c r="F117" s="1455"/>
      <c r="G117" s="1455"/>
      <c r="H117" s="1459"/>
      <c r="I117" s="1457"/>
      <c r="J117" s="130"/>
      <c r="K117" s="1437" t="str">
        <f>IF(Spells!E138="","","["&amp;Spells!E138&amp;"] "&amp;Spells!E139&amp;" ["&amp;Spells!E141&amp;"]")</f>
        <v/>
      </c>
      <c r="L117" s="1439"/>
      <c r="M117" s="1429"/>
      <c r="N117" s="1429"/>
      <c r="O117" s="1429"/>
      <c r="P117" s="1430"/>
      <c r="Q117" s="1430"/>
      <c r="R117" s="1431"/>
      <c r="S117" s="1432"/>
      <c r="T117" s="1438"/>
      <c r="U117" s="1439"/>
      <c r="V117" s="1434"/>
      <c r="W117" s="1434"/>
      <c r="X117" s="1434"/>
      <c r="Y117" s="1434"/>
      <c r="Z117" s="1434"/>
      <c r="AA117" s="1435"/>
      <c r="AB117" s="838"/>
      <c r="AC117" s="637"/>
    </row>
    <row r="118" spans="1:29" s="627" customFormat="1" ht="19.5" hidden="1" customHeight="1" outlineLevel="1" x14ac:dyDescent="0.25">
      <c r="A118" s="596"/>
      <c r="B118" s="1454" t="str">
        <f>IF(Spells!E92="","",Spells!E92)</f>
        <v/>
      </c>
      <c r="C118" s="1335"/>
      <c r="D118" s="1334"/>
      <c r="E118" s="1455"/>
      <c r="F118" s="1455"/>
      <c r="G118" s="1455"/>
      <c r="H118" s="1459"/>
      <c r="I118" s="1457"/>
      <c r="J118" s="130"/>
      <c r="K118" s="1428" t="str">
        <f>IF(Spells!E140="","",Spells!E140)</f>
        <v/>
      </c>
      <c r="L118" s="1439"/>
      <c r="M118" s="1429"/>
      <c r="N118" s="1429"/>
      <c r="O118" s="1429"/>
      <c r="P118" s="1430"/>
      <c r="Q118" s="1430"/>
      <c r="R118" s="1431"/>
      <c r="S118" s="1432"/>
      <c r="T118" s="1438"/>
      <c r="U118" s="1439"/>
      <c r="V118" s="1434"/>
      <c r="W118" s="1434"/>
      <c r="X118" s="1434"/>
      <c r="Y118" s="1434"/>
      <c r="Z118" s="1434"/>
      <c r="AA118" s="1435"/>
      <c r="AB118" s="838"/>
      <c r="AC118" s="637"/>
    </row>
    <row r="119" spans="1:29" s="627" customFormat="1" ht="19.5" hidden="1" customHeight="1" outlineLevel="1" x14ac:dyDescent="0.25">
      <c r="A119" s="596"/>
      <c r="B119" s="1458" t="str">
        <f>IF(Spells!E94="","","["&amp;Spells!E94&amp;"] "&amp;Spells!E95&amp;" ["&amp;Spells!E97&amp;"]")</f>
        <v/>
      </c>
      <c r="C119" s="1335"/>
      <c r="D119" s="1334"/>
      <c r="E119" s="1455"/>
      <c r="F119" s="1455"/>
      <c r="G119" s="1455"/>
      <c r="H119" s="1459"/>
      <c r="I119" s="1457"/>
      <c r="J119" s="130"/>
      <c r="K119" s="1437" t="str">
        <f>IF(Spells!E142="","","["&amp;Spells!E142&amp;"] "&amp;Spells!E143&amp;" ["&amp;Spells!E145&amp;"]")</f>
        <v/>
      </c>
      <c r="L119" s="1439"/>
      <c r="M119" s="1429"/>
      <c r="N119" s="1429"/>
      <c r="O119" s="1429"/>
      <c r="P119" s="1430"/>
      <c r="Q119" s="1430"/>
      <c r="R119" s="1431"/>
      <c r="S119" s="1432"/>
      <c r="T119" s="1438"/>
      <c r="U119" s="1439"/>
      <c r="V119" s="1434"/>
      <c r="W119" s="1434"/>
      <c r="X119" s="1434"/>
      <c r="Y119" s="1434"/>
      <c r="Z119" s="1434"/>
      <c r="AA119" s="1435"/>
      <c r="AB119" s="838"/>
      <c r="AC119" s="637"/>
    </row>
    <row r="120" spans="1:29" s="627" customFormat="1" ht="19.5" hidden="1" customHeight="1" outlineLevel="1" x14ac:dyDescent="0.25">
      <c r="A120" s="596"/>
      <c r="B120" s="1461" t="str">
        <f>IF(Spells!E96="","",Spells!E96)</f>
        <v/>
      </c>
      <c r="C120" s="1338"/>
      <c r="D120" s="1462"/>
      <c r="E120" s="1463"/>
      <c r="F120" s="1463"/>
      <c r="G120" s="1463"/>
      <c r="H120" s="1464"/>
      <c r="I120" s="1465"/>
      <c r="J120" s="130"/>
      <c r="K120" s="1428" t="str">
        <f>IF(Spells!E144="","",Spells!E144)</f>
        <v/>
      </c>
      <c r="L120" s="1439"/>
      <c r="M120" s="1429"/>
      <c r="N120" s="1429"/>
      <c r="O120" s="1429"/>
      <c r="P120" s="1430"/>
      <c r="Q120" s="1430"/>
      <c r="R120" s="1431"/>
      <c r="S120" s="1432"/>
      <c r="T120" s="1438"/>
      <c r="U120" s="1439"/>
      <c r="V120" s="1434"/>
      <c r="W120" s="1434"/>
      <c r="X120" s="1434"/>
      <c r="Y120" s="1434"/>
      <c r="Z120" s="1434"/>
      <c r="AA120" s="1435"/>
      <c r="AB120" s="838"/>
      <c r="AC120" s="637"/>
    </row>
    <row r="121" spans="1:29" s="627" customFormat="1" ht="19.5" hidden="1" customHeight="1" outlineLevel="1" x14ac:dyDescent="0.25">
      <c r="A121" s="596"/>
      <c r="C121" s="838"/>
      <c r="D121" s="130"/>
      <c r="E121" s="130"/>
      <c r="F121" s="130"/>
      <c r="G121" s="130"/>
      <c r="H121" s="130"/>
      <c r="I121" s="130"/>
      <c r="J121" s="130"/>
      <c r="K121" s="1437" t="str">
        <f>IF(Spells!E146="","","["&amp;Spells!E146&amp;"] "&amp;Spells!E147&amp;" ["&amp;Spells!E149&amp;"]")</f>
        <v/>
      </c>
      <c r="L121" s="1439"/>
      <c r="M121" s="1434"/>
      <c r="N121" s="1434"/>
      <c r="O121" s="1434"/>
      <c r="P121" s="1434"/>
      <c r="Q121" s="1434"/>
      <c r="R121" s="1435"/>
      <c r="S121" s="1432"/>
      <c r="T121" s="1438"/>
      <c r="U121" s="1439"/>
      <c r="V121" s="1434"/>
      <c r="W121" s="1434"/>
      <c r="X121" s="1434"/>
      <c r="Y121" s="1434"/>
      <c r="Z121" s="1434"/>
      <c r="AA121" s="1435"/>
      <c r="AB121" s="838"/>
      <c r="AC121" s="637"/>
    </row>
    <row r="122" spans="1:29" s="627" customFormat="1" ht="19.5" hidden="1" customHeight="1" outlineLevel="1" x14ac:dyDescent="0.25">
      <c r="A122" s="596"/>
      <c r="B122" s="676" t="s">
        <v>558</v>
      </c>
      <c r="C122" s="457"/>
      <c r="D122" s="496"/>
      <c r="E122" s="457"/>
      <c r="F122" s="456"/>
      <c r="G122" s="496"/>
      <c r="H122" s="495"/>
      <c r="I122" s="456"/>
      <c r="J122" s="130"/>
      <c r="K122" s="1428" t="str">
        <f>IF(Spells!E148="","",Spells!E148)</f>
        <v/>
      </c>
      <c r="L122" s="1439"/>
      <c r="M122" s="1434"/>
      <c r="N122" s="1434"/>
      <c r="O122" s="1434"/>
      <c r="P122" s="1434"/>
      <c r="Q122" s="1434"/>
      <c r="R122" s="1435"/>
      <c r="S122" s="1432"/>
      <c r="T122" s="1438"/>
      <c r="U122" s="1439"/>
      <c r="V122" s="1434"/>
      <c r="W122" s="1434"/>
      <c r="X122" s="1434"/>
      <c r="Y122" s="1434"/>
      <c r="Z122" s="1434"/>
      <c r="AA122" s="1435"/>
      <c r="AB122" s="838"/>
      <c r="AC122" s="637"/>
    </row>
    <row r="123" spans="1:29" s="627" customFormat="1" ht="19.5" hidden="1" customHeight="1" outlineLevel="1" x14ac:dyDescent="0.25">
      <c r="A123" s="596"/>
      <c r="B123" s="1482" t="str">
        <f>IF(Spells!E37="","","["&amp;Spells!E37&amp;"] "&amp;Spells!E38&amp;" ["&amp;Spells!E40&amp;"]")</f>
        <v/>
      </c>
      <c r="C123" s="1466"/>
      <c r="D123" s="706"/>
      <c r="E123" s="706"/>
      <c r="F123" s="706"/>
      <c r="G123" s="706"/>
      <c r="H123" s="1483"/>
      <c r="I123" s="708"/>
      <c r="J123" s="130"/>
      <c r="K123" s="1437" t="str">
        <f>IF(Spells!E150="","","["&amp;Spells!E150&amp;"] "&amp;Spells!E151&amp;" ["&amp;Spells!E153&amp;"]")</f>
        <v/>
      </c>
      <c r="L123" s="1439"/>
      <c r="M123" s="1434"/>
      <c r="N123" s="1434"/>
      <c r="O123" s="1434"/>
      <c r="P123" s="1434"/>
      <c r="Q123" s="1434"/>
      <c r="R123" s="1435"/>
      <c r="S123" s="1432"/>
      <c r="T123" s="1438"/>
      <c r="U123" s="1439"/>
      <c r="V123" s="1434"/>
      <c r="W123" s="1434"/>
      <c r="X123" s="1434"/>
      <c r="Y123" s="1434"/>
      <c r="Z123" s="1434"/>
      <c r="AA123" s="1435"/>
      <c r="AB123" s="838"/>
      <c r="AC123" s="637"/>
    </row>
    <row r="124" spans="1:29" s="627" customFormat="1" ht="19.5" hidden="1" customHeight="1" outlineLevel="1" x14ac:dyDescent="0.25">
      <c r="A124" s="596"/>
      <c r="B124" s="1484" t="str">
        <f>IF(Spells!E39="","",Spells!E39)</f>
        <v/>
      </c>
      <c r="C124" s="1485"/>
      <c r="D124" s="1485"/>
      <c r="E124" s="1485"/>
      <c r="F124" s="1485"/>
      <c r="G124" s="1485"/>
      <c r="H124" s="1486"/>
      <c r="I124" s="1487"/>
      <c r="J124" s="130"/>
      <c r="K124" s="1447" t="str">
        <f>IF(Spells!E152="","",Spells!E152)</f>
        <v/>
      </c>
      <c r="L124" s="1439"/>
      <c r="M124" s="1434"/>
      <c r="N124" s="1434"/>
      <c r="O124" s="1434"/>
      <c r="P124" s="1434"/>
      <c r="Q124" s="1434"/>
      <c r="R124" s="1435"/>
      <c r="S124" s="1432"/>
      <c r="T124" s="1438"/>
      <c r="U124" s="1439"/>
      <c r="V124" s="1434"/>
      <c r="W124" s="1434"/>
      <c r="X124" s="1434"/>
      <c r="Y124" s="1434"/>
      <c r="Z124" s="1434"/>
      <c r="AA124" s="1435"/>
      <c r="AB124" s="838"/>
      <c r="AC124" s="637"/>
    </row>
    <row r="125" spans="1:29" s="627" customFormat="1" ht="19.5" hidden="1" customHeight="1" outlineLevel="1" x14ac:dyDescent="0.25">
      <c r="A125" s="596"/>
      <c r="B125" s="1488" t="str">
        <f>IF(Spells!E41="","","["&amp;Spells!E41&amp;"] "&amp;Spells!E42&amp;" ["&amp;Spells!E44&amp;"]")</f>
        <v/>
      </c>
      <c r="C125" s="1485"/>
      <c r="D125" s="1485"/>
      <c r="E125" s="1485"/>
      <c r="F125" s="1485"/>
      <c r="G125" s="1485"/>
      <c r="H125" s="1489"/>
      <c r="I125" s="1487"/>
      <c r="J125" s="130"/>
      <c r="K125" s="1437" t="str">
        <f>IF(Spells!E154="","","["&amp;Spells!E154&amp;"] "&amp;Spells!E155&amp;" ["&amp;Spells!E157&amp;"]")</f>
        <v/>
      </c>
      <c r="L125" s="1439"/>
      <c r="M125" s="1434"/>
      <c r="N125" s="1434"/>
      <c r="O125" s="1434"/>
      <c r="P125" s="1434"/>
      <c r="Q125" s="1434"/>
      <c r="R125" s="1435"/>
      <c r="S125" s="1432"/>
      <c r="T125" s="1438"/>
      <c r="U125" s="1439"/>
      <c r="V125" s="1434"/>
      <c r="W125" s="1434"/>
      <c r="X125" s="1434"/>
      <c r="Y125" s="1434"/>
      <c r="Z125" s="1434"/>
      <c r="AA125" s="1435"/>
      <c r="AB125" s="838"/>
      <c r="AC125" s="637"/>
    </row>
    <row r="126" spans="1:29" s="627" customFormat="1" ht="19.5" hidden="1" customHeight="1" outlineLevel="1" x14ac:dyDescent="0.25">
      <c r="A126" s="596"/>
      <c r="B126" s="1490" t="str">
        <f>IF(Spells!E43="","",Spells!E43)</f>
        <v/>
      </c>
      <c r="C126" s="711"/>
      <c r="D126" s="711"/>
      <c r="E126" s="711"/>
      <c r="F126" s="711"/>
      <c r="G126" s="711"/>
      <c r="H126" s="1420"/>
      <c r="I126" s="713"/>
      <c r="J126" s="130"/>
      <c r="K126" s="1447" t="str">
        <f>IF(Spells!E156="","",Spells!E156)</f>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s="627" customFormat="1" ht="19.5" hidden="1" customHeight="1" outlineLevel="1" x14ac:dyDescent="0.25">
      <c r="A127" s="596"/>
      <c r="C127" s="838"/>
      <c r="D127" s="130"/>
      <c r="E127" s="130"/>
      <c r="F127" s="130"/>
      <c r="G127" s="130"/>
      <c r="H127" s="130"/>
      <c r="I127" s="130"/>
      <c r="J127" s="130"/>
      <c r="K127" s="1437" t="str">
        <f>IF(Spells!E158="","","["&amp;Spells!E158&amp;"] "&amp;Spells!E159&amp;" ["&amp;Spells!E161&amp;"]")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s="627" customFormat="1" ht="19.5" hidden="1" customHeight="1" outlineLevel="1" x14ac:dyDescent="0.25">
      <c r="A128" s="596"/>
      <c r="B128" s="495" t="s">
        <v>164</v>
      </c>
      <c r="C128" s="457"/>
      <c r="D128" s="495" t="s">
        <v>560</v>
      </c>
      <c r="E128" s="130"/>
      <c r="F128" s="130"/>
      <c r="G128" s="130"/>
      <c r="H128" s="130"/>
      <c r="I128" s="130"/>
      <c r="J128" s="130"/>
      <c r="K128" s="1447" t="str">
        <f>IF(Spells!E160="","",Spells!E160)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s="627" customFormat="1" ht="19.5" hidden="1" customHeight="1" outlineLevel="1" x14ac:dyDescent="0.3">
      <c r="A129" s="596"/>
      <c r="B129" s="770" t="str">
        <f>IF(Spells!E45="","",Spells!E45)</f>
        <v/>
      </c>
      <c r="C129" s="130"/>
      <c r="D129" s="497"/>
      <c r="E129" s="130"/>
      <c r="F129" s="130"/>
      <c r="G129" s="130"/>
      <c r="H129" s="130"/>
      <c r="I129" s="130"/>
      <c r="J129" s="130"/>
      <c r="K129" s="1437" t="str">
        <f>IF(Spells!E162="","","["&amp;Spells!E162&amp;"] "&amp;Spells!E163&amp;" ["&amp;Spells!E165&amp;"]")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s="627" customFormat="1" ht="19.5" hidden="1" customHeight="1" outlineLevel="1" x14ac:dyDescent="0.25">
      <c r="A130" s="596"/>
      <c r="B130" s="676" t="s">
        <v>559</v>
      </c>
      <c r="C130" s="457"/>
      <c r="D130" s="496"/>
      <c r="E130" s="457"/>
      <c r="F130" s="456"/>
      <c r="G130" s="496"/>
      <c r="H130" s="495"/>
      <c r="I130" s="456"/>
      <c r="J130" s="130"/>
      <c r="K130" s="1447" t="str">
        <f>IF(Spells!E164="","",Spells!E164)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s="627" customFormat="1" ht="19.5" hidden="1" customHeight="1" outlineLevel="1" x14ac:dyDescent="0.25">
      <c r="A131" s="596"/>
      <c r="B131" s="1467" t="str">
        <f>IF(Spells!E46="","","["&amp;Spells!E46&amp;"] "&amp;Spells!E47&amp;" ["&amp;Spells!E49&amp;"]")</f>
        <v/>
      </c>
      <c r="C131" s="1468"/>
      <c r="D131" s="1469"/>
      <c r="E131" s="1470"/>
      <c r="F131" s="1470"/>
      <c r="G131" s="1470"/>
      <c r="H131" s="1470"/>
      <c r="I131" s="1471"/>
      <c r="J131" s="130"/>
      <c r="K131" s="1437" t="str">
        <f>IF(Spells!E166="","","["&amp;Spells!E166&amp;"] "&amp;Spells!E167&amp;" ["&amp;Spells!E169&amp;"]")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s="627" customFormat="1" ht="19.5" hidden="1" customHeight="1" outlineLevel="1" x14ac:dyDescent="0.25">
      <c r="A132" s="596"/>
      <c r="B132" s="1472" t="str">
        <f>IF(Spells!E48="","",Spells!E48)</f>
        <v/>
      </c>
      <c r="C132" s="1473"/>
      <c r="D132" s="1474"/>
      <c r="E132" s="1474"/>
      <c r="F132" s="1474"/>
      <c r="G132" s="1474"/>
      <c r="H132" s="1473"/>
      <c r="I132" s="1475"/>
      <c r="J132" s="130"/>
      <c r="K132" s="1447" t="str">
        <f>IF(Spells!E168="","",Spells!E168)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s="627" customFormat="1" ht="19.5" hidden="1" customHeight="1" outlineLevel="1" x14ac:dyDescent="0.25">
      <c r="A133" s="596"/>
      <c r="B133" s="1476" t="str">
        <f>IF(Spells!E50="","","["&amp;Spells!E50&amp;"] "&amp;Spells!E51&amp;" ["&amp;Spells!E53&amp;"]")</f>
        <v/>
      </c>
      <c r="C133" s="1477"/>
      <c r="D133" s="1474"/>
      <c r="E133" s="1474"/>
      <c r="F133" s="1474"/>
      <c r="G133" s="1474"/>
      <c r="H133" s="1474"/>
      <c r="I133" s="1475"/>
      <c r="J133" s="130"/>
      <c r="K133" s="1437" t="str">
        <f>IF(Spells!E170="","","["&amp;Spells!E170&amp;"] "&amp;Spells!E171&amp;" ["&amp;Spells!E173&amp;"]")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s="627" customFormat="1" ht="19.5" hidden="1" customHeight="1" outlineLevel="1" x14ac:dyDescent="0.25">
      <c r="A134" s="596"/>
      <c r="B134" s="1478" t="str">
        <f>IF(Spells!E52="","",Spells!E52)</f>
        <v/>
      </c>
      <c r="C134" s="1479"/>
      <c r="D134" s="1480"/>
      <c r="E134" s="1480"/>
      <c r="F134" s="1480"/>
      <c r="G134" s="1480"/>
      <c r="H134" s="1479"/>
      <c r="I134" s="1481"/>
      <c r="J134" s="130"/>
      <c r="K134" s="1448" t="str">
        <f>IF(Spells!E172="","",Spells!E172)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s="627" customFormat="1" ht="19.5" hidden="1" customHeight="1" outlineLevel="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hidden="1" customHeight="1" outlineLevel="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collapsed="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IF(Création!E12="","",Création!E12)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Création!E5</f>
        <v>M</v>
      </c>
      <c r="I139" s="1492"/>
      <c r="J139" s="454"/>
      <c r="K139" s="1497" t="str">
        <f>IF(Création!E13="","",Création!E13)</f>
        <v>Dwarven</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IF(Création!E14="","",Création!E14)</f>
        <v>INT 12 = Orcish</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IF(Création!E15="","",Création!E15)</f>
        <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IF(Création!E16="","",Création!E16)</f>
        <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IF(Création!E17="","",Création!E17)</f>
        <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9.5" customHeight="1"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15" x14ac:dyDescent="0.25">
      <c r="A145" s="656"/>
      <c r="B145" s="1547" t="str">
        <f>'Equipment Combat'!E533</f>
        <v>Disrespecting corpses or spirits is anathema to your instinct</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Création!E37</f>
        <v xml:space="preserve">  </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8.75" hidden="1" outlineLevel="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5" hidden="1" outlineLevel="1" x14ac:dyDescent="0.25">
      <c r="A149" s="656"/>
      <c r="B149" s="1410" t="str">
        <f>IF(Minions!D87="","",Minions!D87)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5" hidden="1" outlineLevel="1" x14ac:dyDescent="0.25">
      <c r="A150" s="656"/>
      <c r="B150" s="1414" t="str">
        <f>IF(Minions!D88="","",Minions!D88)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5" hidden="1" outlineLevel="1" x14ac:dyDescent="0.25">
      <c r="A151" s="656"/>
      <c r="B151" s="1414" t="str">
        <f>IF(Minions!D89="","",Minions!D89)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5" hidden="1" outlineLevel="1" x14ac:dyDescent="0.25">
      <c r="A152" s="656"/>
      <c r="B152" s="1414" t="str">
        <f>IF(Minions!D90="","",Minions!D90)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IF(Minions!D91="","",Minions!D91)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5.75"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O23:P23"/>
    <mergeCell ref="R62:W62"/>
    <mergeCell ref="I7:J7"/>
    <mergeCell ref="K7:L7"/>
    <mergeCell ref="M7:N7"/>
    <mergeCell ref="O17:Q17"/>
    <mergeCell ref="S9:U9"/>
    <mergeCell ref="B147:AB147"/>
    <mergeCell ref="G24:H24"/>
    <mergeCell ref="J9:K9"/>
    <mergeCell ref="E18:F18"/>
    <mergeCell ref="O18:P18"/>
    <mergeCell ref="E19:F19"/>
    <mergeCell ref="O19:P19"/>
    <mergeCell ref="E20:F20"/>
    <mergeCell ref="O20:P20"/>
    <mergeCell ref="E21:F21"/>
    <mergeCell ref="O21:P21"/>
    <mergeCell ref="E22:F22"/>
    <mergeCell ref="X62:AB62"/>
    <mergeCell ref="O22:P22"/>
    <mergeCell ref="E23:F23"/>
    <mergeCell ref="B145:AB145"/>
  </mergeCells>
  <conditionalFormatting sqref="R62:W62">
    <cfRule type="containsText" dxfId="24" priority="3" operator="containsText" text="Cannot">
      <formula>NOT(ISERROR(SEARCH("Cannot",R62)))</formula>
    </cfRule>
    <cfRule type="containsText" dxfId="23" priority="4" operator="containsText" text="Encumbered">
      <formula>NOT(ISERROR(SEARCH("Encumbered",R62)))</formula>
    </cfRule>
    <cfRule type="containsText" dxfId="22" priority="5" operator="containsText" text="Fine">
      <formula>NOT(ISERROR(SEARCH("Fine",R62)))</formula>
    </cfRule>
  </conditionalFormatting>
  <conditionalFormatting sqref="X62">
    <cfRule type="containsText" dxfId="21" priority="1" operator="containsText" text="Overloaded">
      <formula>NOT(ISERROR(SEARCH("Overloaded",X62)))</formula>
    </cfRule>
    <cfRule type="containsText" dxfId="20" priority="2" operator="containsText" text="OK">
      <formula>NOT(ISERROR(SEARCH("OK",X62)))</formula>
    </cfRule>
  </conditionalFormatting>
  <hyperlinks>
    <hyperlink ref="D1" r:id="rId1" location="id=2027709" xr:uid="{3D5C4DCE-FD4E-43FD-84F5-B876CC494EB9}"/>
  </hyperlinks>
  <pageMargins left="0.25" right="0.25" top="0.75" bottom="0.75" header="0.3" footer="0.3"/>
  <pageSetup paperSize="9" scale="69" orientation="portrait" horizontalDpi="360" verticalDpi="36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824F-4DF9-4A1A-9B5F-B7F447BDAB08}">
  <sheetPr>
    <pageSetUpPr fitToPage="1"/>
  </sheetPr>
  <dimension ref="A1:AC160"/>
  <sheetViews>
    <sheetView showGridLines="0" workbookViewId="0">
      <pane ySplit="2" topLeftCell="A134" activePane="bottomLeft" state="frozen"/>
      <selection activeCell="T8" sqref="T8"/>
      <selection pane="bottomLeft" activeCell="T8" sqref="T8"/>
    </sheetView>
  </sheetViews>
  <sheetFormatPr baseColWidth="10" defaultColWidth="5.7109375" defaultRowHeight="19.5" customHeight="1" outlineLevelRow="1" x14ac:dyDescent="0.25"/>
  <cols>
    <col min="1" max="14" width="5.7109375" style="459"/>
    <col min="15" max="15" width="5.7109375" style="459" customWidth="1"/>
    <col min="16" max="22" width="5.7109375" style="459"/>
    <col min="23" max="23" width="7.5703125" style="459" bestFit="1" customWidth="1"/>
    <col min="24" max="16384" width="5.7109375" style="459"/>
  </cols>
  <sheetData>
    <row r="1" spans="1:29" ht="19.5" customHeight="1" x14ac:dyDescent="0.25">
      <c r="A1" s="629"/>
      <c r="B1" s="630" t="s">
        <v>487</v>
      </c>
      <c r="C1" s="631"/>
      <c r="D1" s="654" t="s">
        <v>155</v>
      </c>
      <c r="E1" s="631"/>
      <c r="F1" s="631"/>
      <c r="G1" s="630" t="s">
        <v>488</v>
      </c>
      <c r="H1" s="631"/>
      <c r="I1" s="631" t="str">
        <f>Création!F1</f>
        <v>Olivier</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Création!F3</f>
        <v>Cleric</v>
      </c>
      <c r="E2" s="498"/>
      <c r="F2" s="498"/>
      <c r="G2" s="494" t="s">
        <v>26</v>
      </c>
      <c r="H2" s="498"/>
      <c r="I2" s="498" t="str">
        <f>Création!F6</f>
        <v>Desert Elf</v>
      </c>
      <c r="J2" s="498"/>
      <c r="K2" s="498"/>
      <c r="L2" s="498"/>
      <c r="M2" s="490"/>
      <c r="N2" s="498"/>
      <c r="O2" s="498"/>
      <c r="P2" s="494" t="s">
        <v>42</v>
      </c>
      <c r="Q2" s="498"/>
      <c r="R2" s="498" t="str">
        <f>Création!F7</f>
        <v>Dragon Scholar</v>
      </c>
      <c r="S2" s="498"/>
      <c r="T2" s="498"/>
      <c r="U2" s="498"/>
      <c r="V2" s="498"/>
      <c r="W2" s="498"/>
      <c r="X2" s="498"/>
      <c r="Y2" s="498"/>
      <c r="Z2" s="498"/>
      <c r="AA2" s="498"/>
      <c r="AB2" s="437"/>
      <c r="AC2" s="637"/>
    </row>
    <row r="3" spans="1:29" ht="19.5" customHeight="1" x14ac:dyDescent="0.3">
      <c r="A3" s="638"/>
      <c r="B3" s="438" t="s">
        <v>490</v>
      </c>
      <c r="C3" s="439"/>
      <c r="D3" s="440">
        <f>'Dés de vie'!F13</f>
        <v>5</v>
      </c>
      <c r="E3" s="439"/>
      <c r="F3" s="439"/>
      <c r="G3" s="438" t="s">
        <v>205</v>
      </c>
      <c r="H3" s="439"/>
      <c r="I3" s="439" t="str">
        <f>Création!F28</f>
        <v>Medium</v>
      </c>
      <c r="J3" s="439"/>
      <c r="K3" s="438" t="s">
        <v>491</v>
      </c>
      <c r="L3" s="439"/>
      <c r="M3" s="439" t="str">
        <f>Création!F9</f>
        <v>Sarenrae</v>
      </c>
      <c r="N3" s="439"/>
      <c r="O3" s="439"/>
      <c r="P3" s="438" t="s">
        <v>159</v>
      </c>
      <c r="Q3" s="439"/>
      <c r="R3" s="439" t="str">
        <f>Création!F8</f>
        <v>NG</v>
      </c>
      <c r="S3" s="439"/>
      <c r="T3" s="439"/>
      <c r="U3" s="439"/>
      <c r="V3" s="441"/>
      <c r="W3" s="441"/>
      <c r="X3" s="441"/>
      <c r="Y3" s="439"/>
      <c r="Z3" s="439"/>
      <c r="AA3" s="439"/>
      <c r="AB3" s="442"/>
      <c r="AC3" s="637"/>
    </row>
    <row r="4" spans="1:29" s="450" customFormat="1" ht="19.5" customHeight="1" x14ac:dyDescent="0.3">
      <c r="A4" s="639"/>
      <c r="B4" s="640" t="s">
        <v>492</v>
      </c>
      <c r="C4" s="640"/>
      <c r="D4" s="640"/>
      <c r="E4" s="640"/>
      <c r="F4" s="640"/>
      <c r="G4" s="640"/>
      <c r="H4" s="640"/>
      <c r="I4" s="1317" t="s">
        <v>493</v>
      </c>
      <c r="J4" s="1317"/>
      <c r="K4" s="640"/>
      <c r="L4" s="640"/>
      <c r="M4" s="641"/>
      <c r="N4" s="641"/>
      <c r="O4" s="641"/>
      <c r="P4" s="640"/>
      <c r="Q4" s="640"/>
      <c r="R4" s="640"/>
      <c r="S4" s="640"/>
      <c r="T4" s="640"/>
      <c r="U4" s="640"/>
      <c r="V4" s="641"/>
      <c r="W4" s="640" t="s">
        <v>494</v>
      </c>
      <c r="X4" s="640"/>
      <c r="Y4" s="640"/>
      <c r="Z4" s="640"/>
      <c r="AA4" s="640"/>
      <c r="AB4" s="640"/>
      <c r="AC4" s="642"/>
    </row>
    <row r="5" spans="1:29" ht="19.5" customHeight="1" x14ac:dyDescent="0.25">
      <c r="A5" s="636"/>
      <c r="B5" s="489" t="s">
        <v>79</v>
      </c>
      <c r="C5" s="489" t="s">
        <v>495</v>
      </c>
      <c r="D5" s="489" t="s">
        <v>496</v>
      </c>
      <c r="E5" s="489" t="s">
        <v>79</v>
      </c>
      <c r="F5" s="489" t="s">
        <v>495</v>
      </c>
      <c r="G5" s="489" t="s">
        <v>496</v>
      </c>
      <c r="H5" s="490"/>
      <c r="I5" s="782">
        <f>'Dés de vie'!F16</f>
        <v>46</v>
      </c>
      <c r="J5" s="1401"/>
      <c r="K5" s="498"/>
      <c r="L5" s="498"/>
      <c r="M5" s="494"/>
      <c r="N5" s="490"/>
      <c r="O5" s="4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Stats!F2</f>
        <v>10</v>
      </c>
      <c r="D6" s="1385">
        <f>Stats!F11</f>
        <v>0</v>
      </c>
      <c r="E6" s="1386" t="s">
        <v>11</v>
      </c>
      <c r="F6" s="1385">
        <f>Stats!F3</f>
        <v>16</v>
      </c>
      <c r="G6" s="1387">
        <f>Stats!F12</f>
        <v>3</v>
      </c>
      <c r="H6" s="490"/>
      <c r="I6" s="640" t="s">
        <v>497</v>
      </c>
      <c r="J6" s="490"/>
      <c r="K6" s="490"/>
      <c r="L6" s="489"/>
      <c r="M6" s="490" t="s">
        <v>644</v>
      </c>
      <c r="N6" s="489"/>
      <c r="O6" s="490"/>
      <c r="P6" s="490"/>
      <c r="Q6" s="489" t="s">
        <v>324</v>
      </c>
      <c r="R6" s="490"/>
      <c r="S6" s="490"/>
      <c r="T6" s="489" t="s">
        <v>342</v>
      </c>
      <c r="U6" s="490"/>
      <c r="V6" s="489" t="s">
        <v>297</v>
      </c>
      <c r="W6" s="1395" t="str">
        <f>Skills!A137</f>
        <v>Simple weapons</v>
      </c>
      <c r="X6" s="1396"/>
      <c r="Y6" s="1396"/>
      <c r="Z6" s="1396"/>
      <c r="AA6" s="731" t="str">
        <f>Skills!F137</f>
        <v>Trained</v>
      </c>
      <c r="AB6" s="1397"/>
      <c r="AC6" s="637"/>
    </row>
    <row r="7" spans="1:29" ht="19.5" customHeight="1" x14ac:dyDescent="0.25">
      <c r="A7" s="643"/>
      <c r="B7" s="1388" t="s">
        <v>8</v>
      </c>
      <c r="C7" s="1389">
        <f>Stats!F4</f>
        <v>10</v>
      </c>
      <c r="D7" s="1389">
        <f>Stats!F13</f>
        <v>0</v>
      </c>
      <c r="E7" s="1368" t="s">
        <v>12</v>
      </c>
      <c r="F7" s="1389">
        <f>Stats!F5</f>
        <v>14</v>
      </c>
      <c r="G7" s="1390">
        <f>Stats!F14</f>
        <v>2</v>
      </c>
      <c r="H7" s="490"/>
      <c r="I7" s="1552" t="str">
        <f>'Equipment Combat'!F343</f>
        <v>20</v>
      </c>
      <c r="J7" s="1553"/>
      <c r="K7" s="1550" t="s">
        <v>498</v>
      </c>
      <c r="L7" s="1550"/>
      <c r="M7" s="1554">
        <f>IF('Equipment Combat'!F342="",'Equipment Combat'!F341,CONCATENATE("MIN(",'Equipment Combat'!F341,"/",'Equipment Combat'!F342,")"))</f>
        <v>3</v>
      </c>
      <c r="N7" s="1554"/>
      <c r="O7" s="1320" t="s">
        <v>499</v>
      </c>
      <c r="P7" s="1320">
        <f>'Equipment Combat'!F340</f>
        <v>7</v>
      </c>
      <c r="Q7" s="774" t="str">
        <f>'Equipment Combat'!F338</f>
        <v>Trained</v>
      </c>
      <c r="R7" s="1320"/>
      <c r="S7" s="1320" t="s">
        <v>499</v>
      </c>
      <c r="T7" s="1320">
        <f>'Equipment Combat'!F335+'Equipment Combat'!F336</f>
        <v>0</v>
      </c>
      <c r="U7" s="775" t="s">
        <v>499</v>
      </c>
      <c r="V7" s="776">
        <f>'Equipment Combat'!F339</f>
        <v>0</v>
      </c>
      <c r="W7" s="1398" t="str">
        <f>Skills!A139</f>
        <v>Martial weapons</v>
      </c>
      <c r="X7" s="737"/>
      <c r="Y7" s="1399"/>
      <c r="Z7" s="1399"/>
      <c r="AA7" s="737" t="str">
        <f>Skills!F139</f>
        <v>Untrained</v>
      </c>
      <c r="AB7" s="1343"/>
      <c r="AC7" s="637"/>
    </row>
    <row r="8" spans="1:29" ht="19.5" customHeight="1" x14ac:dyDescent="0.3">
      <c r="A8" s="643"/>
      <c r="B8" s="1391" t="s">
        <v>13</v>
      </c>
      <c r="C8" s="1392">
        <f>Stats!F6</f>
        <v>19</v>
      </c>
      <c r="D8" s="1392">
        <f>Stats!F15</f>
        <v>4</v>
      </c>
      <c r="E8" s="1393" t="s">
        <v>14</v>
      </c>
      <c r="F8" s="1392">
        <f>Stats!F7</f>
        <v>16</v>
      </c>
      <c r="G8" s="1394">
        <f>Stats!F16</f>
        <v>3</v>
      </c>
      <c r="H8" s="490"/>
      <c r="I8" s="640" t="s">
        <v>84</v>
      </c>
      <c r="J8" s="490"/>
      <c r="K8" s="490"/>
      <c r="L8" s="490"/>
      <c r="M8" s="489" t="s">
        <v>324</v>
      </c>
      <c r="N8" s="490"/>
      <c r="O8" s="490"/>
      <c r="P8" s="490"/>
      <c r="Q8" s="489" t="s">
        <v>79</v>
      </c>
      <c r="R8" s="490"/>
      <c r="S8" s="1207" t="s">
        <v>979</v>
      </c>
      <c r="T8" s="1189"/>
      <c r="U8" s="490"/>
      <c r="V8" s="490"/>
      <c r="W8" s="1398" t="str">
        <f>Skills!A141</f>
        <v>Advanced weapons</v>
      </c>
      <c r="X8" s="737"/>
      <c r="Y8" s="1399"/>
      <c r="Z8" s="1399"/>
      <c r="AA8" s="737" t="str">
        <f>Skills!F141</f>
        <v>Untrained</v>
      </c>
      <c r="AB8" s="1343"/>
      <c r="AC8" s="637"/>
    </row>
    <row r="9" spans="1:29" ht="19.5" customHeight="1" x14ac:dyDescent="0.25">
      <c r="A9" s="643"/>
      <c r="B9" s="490"/>
      <c r="C9" s="490"/>
      <c r="D9" s="490"/>
      <c r="E9" s="490"/>
      <c r="F9" s="490"/>
      <c r="G9" s="490"/>
      <c r="H9" s="490"/>
      <c r="I9" s="781">
        <f>Skills!F37</f>
        <v>14</v>
      </c>
      <c r="J9" s="1551" t="s">
        <v>498</v>
      </c>
      <c r="K9" s="1551"/>
      <c r="L9" s="777">
        <f>Skills!F206</f>
        <v>0</v>
      </c>
      <c r="M9" s="778" t="str">
        <f>Skills!F163</f>
        <v>Untrained</v>
      </c>
      <c r="N9" s="779"/>
      <c r="O9" s="777" t="s">
        <v>499</v>
      </c>
      <c r="P9" s="777">
        <f>Skills!F70</f>
        <v>4</v>
      </c>
      <c r="Q9" s="780" t="str">
        <f>Skills!F71</f>
        <v>WIS</v>
      </c>
      <c r="R9" s="490"/>
      <c r="S9" s="1562">
        <f>'Status courant'!F6</f>
        <v>1</v>
      </c>
      <c r="T9" s="1563"/>
      <c r="U9" s="1564"/>
      <c r="V9" s="490"/>
      <c r="W9" s="1398" t="str">
        <f>Skills!A143</f>
        <v>Alchemical bombs</v>
      </c>
      <c r="X9" s="737"/>
      <c r="Y9" s="1399"/>
      <c r="Z9" s="1399"/>
      <c r="AA9" s="737" t="str">
        <f>Skills!F143</f>
        <v>Untrained</v>
      </c>
      <c r="AB9" s="1343"/>
      <c r="AC9" s="637"/>
    </row>
    <row r="10" spans="1:29" ht="19.5" customHeight="1" x14ac:dyDescent="0.3">
      <c r="A10" s="643"/>
      <c r="B10" s="640" t="s">
        <v>500</v>
      </c>
      <c r="C10" s="640"/>
      <c r="D10" s="490"/>
      <c r="E10" s="490"/>
      <c r="F10" s="490"/>
      <c r="G10" s="490"/>
      <c r="H10" s="490"/>
      <c r="I10" s="490"/>
      <c r="J10" s="490"/>
      <c r="K10" s="489"/>
      <c r="L10" s="490"/>
      <c r="M10" s="490"/>
      <c r="N10" s="490"/>
      <c r="O10" s="490"/>
      <c r="P10" s="490"/>
      <c r="Q10" s="490"/>
      <c r="R10" s="490"/>
      <c r="S10" s="490"/>
      <c r="T10" s="490"/>
      <c r="U10" s="490"/>
      <c r="V10" s="490"/>
      <c r="W10" s="1398" t="str">
        <f>Skills!A145</f>
        <v>Unarmed attacks</v>
      </c>
      <c r="X10" s="737"/>
      <c r="Y10" s="1399"/>
      <c r="Z10" s="1399"/>
      <c r="AA10" s="737" t="str">
        <f>Skills!F145</f>
        <v>Trained</v>
      </c>
      <c r="AB10" s="1343"/>
      <c r="AC10" s="637"/>
    </row>
    <row r="11" spans="1:29" ht="19.5" customHeight="1" x14ac:dyDescent="0.25">
      <c r="A11" s="643"/>
      <c r="B11" s="490"/>
      <c r="C11" s="489" t="s">
        <v>7</v>
      </c>
      <c r="D11" s="489"/>
      <c r="E11" s="489" t="s">
        <v>79</v>
      </c>
      <c r="F11" s="489"/>
      <c r="G11" s="489"/>
      <c r="H11" s="489" t="s">
        <v>324</v>
      </c>
      <c r="I11" s="489"/>
      <c r="J11" s="489"/>
      <c r="K11" s="489" t="s">
        <v>342</v>
      </c>
      <c r="L11" s="490"/>
      <c r="M11" s="490"/>
      <c r="N11" s="490"/>
      <c r="O11" s="490"/>
      <c r="P11" s="490"/>
      <c r="Q11" s="498" t="s">
        <v>648</v>
      </c>
      <c r="R11" s="490"/>
      <c r="S11" s="490"/>
      <c r="T11" s="490"/>
      <c r="U11" s="490"/>
      <c r="V11" s="490"/>
      <c r="W11" s="1398" t="str">
        <f>IF(Skills!F$148="",Skills!A$147,Skills!F$148)</f>
        <v>Scimitar</v>
      </c>
      <c r="X11" s="737"/>
      <c r="Y11" s="1399"/>
      <c r="Z11" s="1399"/>
      <c r="AA11" s="737" t="str">
        <f>Skills!F147</f>
        <v>Trained</v>
      </c>
      <c r="AB11" s="1343"/>
      <c r="AC11" s="637"/>
    </row>
    <row r="12" spans="1:29" ht="19.5" customHeight="1" x14ac:dyDescent="0.3">
      <c r="A12" s="643"/>
      <c r="B12" s="1368" t="s">
        <v>501</v>
      </c>
      <c r="C12" s="1369">
        <f>Skills!F4</f>
        <v>9</v>
      </c>
      <c r="D12" s="1370" t="s">
        <v>502</v>
      </c>
      <c r="E12" s="1371">
        <f>Skills!F45</f>
        <v>0</v>
      </c>
      <c r="F12" s="1370" t="s">
        <v>499</v>
      </c>
      <c r="G12" s="1371">
        <f>Skills!F172</f>
        <v>9</v>
      </c>
      <c r="H12" s="1372" t="str">
        <f>Skills!F78</f>
        <v>Expert</v>
      </c>
      <c r="I12" s="1372"/>
      <c r="J12" s="1370" t="s">
        <v>499</v>
      </c>
      <c r="K12" s="1373"/>
      <c r="L12" s="490"/>
      <c r="M12" s="640" t="s">
        <v>206</v>
      </c>
      <c r="N12" s="490"/>
      <c r="O12" s="490"/>
      <c r="P12" s="490"/>
      <c r="Q12" s="1384" t="s">
        <v>504</v>
      </c>
      <c r="R12" s="1402"/>
      <c r="S12" s="1407">
        <f>C15</f>
        <v>13</v>
      </c>
      <c r="T12" s="490"/>
      <c r="U12" s="490"/>
      <c r="V12" s="490"/>
      <c r="W12" s="1398" t="str">
        <f>IF(Skills!F$150="","",Skills!F$151)</f>
        <v/>
      </c>
      <c r="X12" s="737"/>
      <c r="Y12" s="1399"/>
      <c r="Z12" s="1399"/>
      <c r="AA12" s="737" t="str">
        <f>IF(Skills!F$150="","",Skills!F$150)</f>
        <v/>
      </c>
      <c r="AB12" s="1343"/>
      <c r="AC12" s="637"/>
    </row>
    <row r="13" spans="1:29" ht="19.5" customHeight="1" x14ac:dyDescent="0.25">
      <c r="A13" s="643"/>
      <c r="B13" s="1368" t="s">
        <v>528</v>
      </c>
      <c r="C13" s="1374">
        <f>Skills!F5</f>
        <v>10</v>
      </c>
      <c r="D13" s="1375" t="s">
        <v>502</v>
      </c>
      <c r="E13" s="1376">
        <f>Skills!F46</f>
        <v>3</v>
      </c>
      <c r="F13" s="1375" t="s">
        <v>499</v>
      </c>
      <c r="G13" s="1376">
        <f>Skills!F173</f>
        <v>7</v>
      </c>
      <c r="H13" s="1377" t="str">
        <f>Skills!F80</f>
        <v>Trained</v>
      </c>
      <c r="I13" s="1377"/>
      <c r="J13" s="1375" t="s">
        <v>499</v>
      </c>
      <c r="K13" s="1378"/>
      <c r="L13" s="490"/>
      <c r="M13" s="721" t="str">
        <f>Skills!F309&amp;"'"</f>
        <v>30'</v>
      </c>
      <c r="N13" s="490"/>
      <c r="O13" s="490"/>
      <c r="P13" s="490"/>
      <c r="Q13" s="1403" t="s">
        <v>23</v>
      </c>
      <c r="R13" s="1404"/>
      <c r="S13" s="1408">
        <f>R29</f>
        <v>10</v>
      </c>
      <c r="T13" s="490"/>
      <c r="U13" s="490"/>
      <c r="V13" s="490"/>
      <c r="W13" s="1398" t="str">
        <f>Skills!A154</f>
        <v>Light armor</v>
      </c>
      <c r="X13" s="737"/>
      <c r="Y13" s="1399"/>
      <c r="Z13" s="1399"/>
      <c r="AA13" s="737" t="str">
        <f>Skills!F154</f>
        <v>Untrained</v>
      </c>
      <c r="AB13" s="1343"/>
      <c r="AC13" s="637"/>
    </row>
    <row r="14" spans="1:29" ht="19.5" customHeight="1" x14ac:dyDescent="0.3">
      <c r="A14" s="643"/>
      <c r="B14" s="1368" t="s">
        <v>503</v>
      </c>
      <c r="C14" s="1374">
        <f>Skills!F6</f>
        <v>13</v>
      </c>
      <c r="D14" s="1375" t="s">
        <v>502</v>
      </c>
      <c r="E14" s="1376">
        <f>Skills!F47</f>
        <v>4</v>
      </c>
      <c r="F14" s="1375" t="s">
        <v>499</v>
      </c>
      <c r="G14" s="1376">
        <f>Skills!F174</f>
        <v>9</v>
      </c>
      <c r="H14" s="1377" t="str">
        <f>Skills!F82</f>
        <v>Expert</v>
      </c>
      <c r="I14" s="1377"/>
      <c r="J14" s="1375" t="s">
        <v>499</v>
      </c>
      <c r="K14" s="1378"/>
      <c r="L14" s="490"/>
      <c r="M14" s="490"/>
      <c r="N14" s="644"/>
      <c r="O14" s="644"/>
      <c r="P14" s="490"/>
      <c r="Q14" s="1403" t="s">
        <v>54</v>
      </c>
      <c r="R14" s="1404"/>
      <c r="S14" s="1408">
        <f>D30</f>
        <v>3</v>
      </c>
      <c r="T14" s="490"/>
      <c r="U14" s="454"/>
      <c r="V14" s="454"/>
      <c r="W14" s="1398" t="str">
        <f>Skills!A156</f>
        <v>Medium armor</v>
      </c>
      <c r="X14" s="737"/>
      <c r="Y14" s="737"/>
      <c r="Z14" s="737"/>
      <c r="AA14" s="737" t="str">
        <f>Skills!F156</f>
        <v>Untrained</v>
      </c>
      <c r="AB14" s="1343"/>
      <c r="AC14" s="637"/>
    </row>
    <row r="15" spans="1:29" ht="19.5" customHeight="1" x14ac:dyDescent="0.3">
      <c r="A15" s="643"/>
      <c r="B15" s="1368" t="s">
        <v>504</v>
      </c>
      <c r="C15" s="1379">
        <f>Skills!F2</f>
        <v>13</v>
      </c>
      <c r="D15" s="1380" t="s">
        <v>502</v>
      </c>
      <c r="E15" s="1381">
        <f>Skills!F42</f>
        <v>4</v>
      </c>
      <c r="F15" s="1380" t="s">
        <v>499</v>
      </c>
      <c r="G15" s="1381">
        <f>Skills!F171</f>
        <v>9</v>
      </c>
      <c r="H15" s="1382" t="str">
        <f>Skills!F75</f>
        <v>Expert</v>
      </c>
      <c r="I15" s="1382"/>
      <c r="J15" s="1380" t="s">
        <v>499</v>
      </c>
      <c r="K15" s="1383"/>
      <c r="L15" s="498" t="str">
        <f>CONCATENATE(" &lt;&lt; ",Feats!F6)</f>
        <v xml:space="preserve"> &lt;&lt; Low-light vision</v>
      </c>
      <c r="M15" s="644"/>
      <c r="N15" s="644"/>
      <c r="O15" s="644"/>
      <c r="P15" s="490"/>
      <c r="Q15" s="1405" t="s">
        <v>21</v>
      </c>
      <c r="R15" s="1406"/>
      <c r="S15" s="1409">
        <f>D31</f>
        <v>12</v>
      </c>
      <c r="T15" s="454"/>
      <c r="U15" s="454"/>
      <c r="V15" s="454"/>
      <c r="W15" s="1398" t="str">
        <f>Skills!A158</f>
        <v>Heavy armor</v>
      </c>
      <c r="X15" s="737"/>
      <c r="Y15" s="737"/>
      <c r="Z15" s="737"/>
      <c r="AA15" s="737" t="str">
        <f>Skills!F158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Skills!F163</f>
        <v>Untrained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s="627" customFormat="1" ht="19.5" customHeight="1" x14ac:dyDescent="0.25">
      <c r="A18" s="643"/>
      <c r="B18" s="764" t="str">
        <f>'Equipment Combat'!F349</f>
        <v>Scimitar</v>
      </c>
      <c r="C18" s="765"/>
      <c r="D18" s="765"/>
      <c r="E18" s="1559" t="str">
        <f>'Equipment Combat'!F364</f>
        <v>7/2/-3</v>
      </c>
      <c r="F18" s="1559"/>
      <c r="G18" s="748" t="str">
        <f>"= "&amp;'Equipment Combat'!F367</f>
        <v>= 0</v>
      </c>
      <c r="H18" s="747" t="str">
        <f>'Equipment Combat'!F365</f>
        <v>STR</v>
      </c>
      <c r="I18" s="747"/>
      <c r="J18" s="748" t="str">
        <f>"+ "&amp;'Equipment Combat'!F368</f>
        <v>+ 7</v>
      </c>
      <c r="K18" s="747" t="str">
        <f>'Equipment Combat'!F366</f>
        <v>Trained</v>
      </c>
      <c r="L18" s="747"/>
      <c r="M18" s="1350">
        <f>'Equipment Combat'!F369</f>
        <v>0</v>
      </c>
      <c r="N18" s="457" t="s">
        <v>505</v>
      </c>
      <c r="O18" s="1560" t="str">
        <f>CONCATENATE('Equipment Combat'!F375,'Equipment Combat'!F357)</f>
        <v>1d6</v>
      </c>
      <c r="P18" s="1561"/>
      <c r="Q18" s="1321" t="str">
        <f>"+"&amp;'Equipment Combat'!F374</f>
        <v>+0</v>
      </c>
      <c r="R18" s="752" t="str">
        <f>'Equipment Combat'!F373</f>
        <v>STR</v>
      </c>
      <c r="S18" s="1351" t="str">
        <f>'Equipment Combat'!F358</f>
        <v>Slashing</v>
      </c>
      <c r="T18" s="1352" t="str">
        <f>'Equipment Combat'!F363</f>
        <v>Sword</v>
      </c>
      <c r="U18" s="1353"/>
      <c r="V18" s="1352" t="str">
        <f>'Equipment Combat'!F351&amp;IF('Equipment Combat'!F352="-","",", "&amp;'Equipment Combat'!F352)&amp;IF('Equipment Combat'!F353="-","",", "&amp;'Equipment Combat'!F353)&amp;IF('Equipment Combat'!F354="-","",", "&amp;'Equipment Combat'!F354)&amp;IF('Equipment Combat'!F355="-","",", "&amp;'Equipment Combat'!F355)&amp;IF('Equipment Combat'!F360="-","",", "&amp;'Equipment Combat'!F360)&amp;IF('Equipment Combat'!F361="-","",", "&amp;'Equipment Combat'!F361)</f>
        <v>Specific 1, Forceful, Sweep</v>
      </c>
      <c r="W18" s="1354"/>
      <c r="X18" s="1354"/>
      <c r="Y18" s="1354"/>
      <c r="Z18" s="1354"/>
      <c r="AA18" s="1354"/>
      <c r="AB18" s="1353"/>
      <c r="AC18" s="637"/>
    </row>
    <row r="19" spans="1:29" s="627" customFormat="1" ht="19.5" customHeight="1" x14ac:dyDescent="0.25">
      <c r="A19" s="643"/>
      <c r="B19" s="766" t="str">
        <f>'Equipment Combat'!F376</f>
        <v>Dagger</v>
      </c>
      <c r="C19" s="767"/>
      <c r="D19" s="767"/>
      <c r="E19" s="1534" t="str">
        <f>'Equipment Combat'!F391</f>
        <v>10/6/2</v>
      </c>
      <c r="F19" s="1534"/>
      <c r="G19" s="750" t="str">
        <f>"= "&amp;'Equipment Combat'!F394</f>
        <v>= 3</v>
      </c>
      <c r="H19" s="749" t="str">
        <f>'Equipment Combat'!F392</f>
        <v>STR/DEX</v>
      </c>
      <c r="I19" s="749"/>
      <c r="J19" s="750" t="str">
        <f>"+ "&amp;'Equipment Combat'!F395</f>
        <v>+ 7</v>
      </c>
      <c r="K19" s="749" t="str">
        <f>'Equipment Combat'!F393</f>
        <v>Trained</v>
      </c>
      <c r="L19" s="749"/>
      <c r="M19" s="1355">
        <f>'Equipment Combat'!F396</f>
        <v>0</v>
      </c>
      <c r="N19" s="457" t="s">
        <v>505</v>
      </c>
      <c r="O19" s="1540" t="str">
        <f>CONCATENATE('Equipment Combat'!F402,'Equipment Combat'!F384)</f>
        <v>1d4</v>
      </c>
      <c r="P19" s="1541"/>
      <c r="Q19" s="1318" t="str">
        <f>"+"&amp;'Equipment Combat'!F401</f>
        <v>+0</v>
      </c>
      <c r="R19" s="753" t="str">
        <f>'Equipment Combat'!F400</f>
        <v>STR</v>
      </c>
      <c r="S19" s="1356" t="str">
        <f>'Equipment Combat'!F385</f>
        <v>Piercing</v>
      </c>
      <c r="T19" s="1357" t="str">
        <f>'Equipment Combat'!F390</f>
        <v>Knife</v>
      </c>
      <c r="U19" s="1358"/>
      <c r="V19" s="1357" t="str">
        <f>'Equipment Combat'!F378&amp;IF('Equipment Combat'!F379="-","",", "&amp;'Equipment Combat'!F379)&amp;IF('Equipment Combat'!F380="-","",", "&amp;'Equipment Combat'!F380)&amp;IF('Equipment Combat'!F381="-","",", "&amp;'Equipment Combat'!F381)&amp;IF('Equipment Combat'!F382="-","",", "&amp;'Equipment Combat'!F382)&amp;IF('Equipment Combat'!F387="-","",", "&amp;'Equipment Combat'!F387)&amp;IF('Equipment Combat'!F388="-","",", "&amp;'Equipment Combat'!F388)</f>
        <v>Simple, Agile, Finesse, Thrown 10', Versatile S</v>
      </c>
      <c r="W19" s="1359"/>
      <c r="X19" s="1359"/>
      <c r="Y19" s="1359"/>
      <c r="Z19" s="1359"/>
      <c r="AA19" s="1359"/>
      <c r="AB19" s="1358"/>
      <c r="AC19" s="637"/>
    </row>
    <row r="20" spans="1:29" s="627" customFormat="1" ht="19.5" customHeight="1" x14ac:dyDescent="0.25">
      <c r="A20" s="643"/>
      <c r="B20" s="766" t="str">
        <f>'Equipment Combat'!F403</f>
        <v>Fist</v>
      </c>
      <c r="C20" s="767"/>
      <c r="D20" s="767"/>
      <c r="E20" s="1534" t="str">
        <f>'Equipment Combat'!F418</f>
        <v>10/6/2</v>
      </c>
      <c r="F20" s="1534"/>
      <c r="G20" s="750" t="str">
        <f>"= "&amp;'Equipment Combat'!F421</f>
        <v>= 3</v>
      </c>
      <c r="H20" s="749" t="str">
        <f>'Equipment Combat'!F419</f>
        <v>STR/DEX</v>
      </c>
      <c r="I20" s="749"/>
      <c r="J20" s="750" t="str">
        <f>"+ "&amp;'Equipment Combat'!F422</f>
        <v>+ 7</v>
      </c>
      <c r="K20" s="749" t="str">
        <f>'Equipment Combat'!F420</f>
        <v>Trained</v>
      </c>
      <c r="L20" s="749"/>
      <c r="M20" s="1355">
        <f>'Equipment Combat'!F423</f>
        <v>0</v>
      </c>
      <c r="N20" s="457" t="s">
        <v>505</v>
      </c>
      <c r="O20" s="1540" t="str">
        <f>CONCATENATE('Equipment Combat'!F429,'Equipment Combat'!F411)</f>
        <v>1d4</v>
      </c>
      <c r="P20" s="1541"/>
      <c r="Q20" s="1318" t="str">
        <f>"+"&amp;'Equipment Combat'!F428</f>
        <v>+0</v>
      </c>
      <c r="R20" s="753" t="str">
        <f>'Equipment Combat'!F427</f>
        <v>STR</v>
      </c>
      <c r="S20" s="1356" t="str">
        <f>'Equipment Combat'!F412</f>
        <v>Bludgeoning</v>
      </c>
      <c r="T20" s="1357" t="str">
        <f>'Equipment Combat'!F417</f>
        <v>Brawling</v>
      </c>
      <c r="U20" s="1358"/>
      <c r="V20" s="1357" t="str">
        <f>'Equipment Combat'!F405&amp;IF('Equipment Combat'!F406="-","",", "&amp;'Equipment Combat'!F406)&amp;IF('Equipment Combat'!F407="-","",", "&amp;'Equipment Combat'!F407)&amp;IF('Equipment Combat'!F408="-","",", "&amp;'Equipment Combat'!F408)&amp;IF('Equipment Combat'!F409="-","",", "&amp;'Equipment Combat'!F409)&amp;IF('Equipment Combat'!F414="-","",", "&amp;'Equipment Combat'!F414)&amp;IF('Equipment Combat'!F415="-","",", "&amp;'Equipment Combat'!F415)</f>
        <v>Unarmed, Agile, Finesse, Nonlethal</v>
      </c>
      <c r="W20" s="1359"/>
      <c r="X20" s="1359"/>
      <c r="Y20" s="1359"/>
      <c r="Z20" s="1359"/>
      <c r="AA20" s="1359"/>
      <c r="AB20" s="1358"/>
      <c r="AC20" s="637"/>
    </row>
    <row r="21" spans="1:29" s="627" customFormat="1" ht="19.5" customHeight="1" x14ac:dyDescent="0.25">
      <c r="A21" s="643"/>
      <c r="B21" s="766" t="str">
        <f>'Equipment Combat'!F430</f>
        <v>Silver Morning Star</v>
      </c>
      <c r="C21" s="767"/>
      <c r="D21" s="767"/>
      <c r="E21" s="1534" t="str">
        <f>'Equipment Combat'!F445</f>
        <v>7/2/-3</v>
      </c>
      <c r="F21" s="1534"/>
      <c r="G21" s="750" t="str">
        <f>"= "&amp;'Equipment Combat'!F448</f>
        <v>= 0</v>
      </c>
      <c r="H21" s="749" t="str">
        <f>'Equipment Combat'!F446</f>
        <v>STR</v>
      </c>
      <c r="I21" s="749"/>
      <c r="J21" s="750" t="str">
        <f>"+ "&amp;'Equipment Combat'!F449</f>
        <v>+ 7</v>
      </c>
      <c r="K21" s="749" t="str">
        <f>'Equipment Combat'!F447</f>
        <v>Trained</v>
      </c>
      <c r="L21" s="749"/>
      <c r="M21" s="1355">
        <f>'Equipment Combat'!F450</f>
        <v>0</v>
      </c>
      <c r="N21" s="457" t="s">
        <v>505</v>
      </c>
      <c r="O21" s="1540" t="str">
        <f>CONCATENATE('Equipment Combat'!F456,'Equipment Combat'!F438)</f>
        <v>1d6</v>
      </c>
      <c r="P21" s="1541"/>
      <c r="Q21" s="1318" t="str">
        <f>"+"&amp;'Equipment Combat'!F455</f>
        <v>+0</v>
      </c>
      <c r="R21" s="753" t="str">
        <f>'Equipment Combat'!F454</f>
        <v>STR</v>
      </c>
      <c r="S21" s="1356" t="str">
        <f>'Equipment Combat'!F439</f>
        <v>Bludgeoning</v>
      </c>
      <c r="T21" s="1357" t="str">
        <f>'Equipment Combat'!F444</f>
        <v>Club</v>
      </c>
      <c r="U21" s="1358"/>
      <c r="V21" s="1357" t="str">
        <f>'Equipment Combat'!F432&amp;IF('Equipment Combat'!F433="-","",", "&amp;'Equipment Combat'!F433)&amp;IF('Equipment Combat'!F434="-","",", "&amp;'Equipment Combat'!F434)&amp;IF('Equipment Combat'!F435="-","",", "&amp;'Equipment Combat'!F435)&amp;IF('Equipment Combat'!F436="-","",", "&amp;'Equipment Combat'!F436)&amp;IF('Equipment Combat'!F441="-","",", "&amp;'Equipment Combat'!F441)&amp;IF('Equipment Combat'!F442="-","",", "&amp;'Equipment Combat'!F442)</f>
        <v>Simple, Versatile P</v>
      </c>
      <c r="W21" s="1359"/>
      <c r="X21" s="1359"/>
      <c r="Y21" s="1359"/>
      <c r="Z21" s="1359"/>
      <c r="AA21" s="1359"/>
      <c r="AB21" s="1358"/>
      <c r="AC21" s="637"/>
    </row>
    <row r="22" spans="1:29" s="627" customFormat="1" ht="19.5" hidden="1" customHeight="1" outlineLevel="1" x14ac:dyDescent="0.25">
      <c r="A22" s="643"/>
      <c r="B22" s="766" t="str">
        <f>'Equipment Combat'!F457</f>
        <v>+1 Sling</v>
      </c>
      <c r="C22" s="767"/>
      <c r="D22" s="767"/>
      <c r="E22" s="1534" t="str">
        <f>'Equipment Combat'!F472</f>
        <v>11/6/1</v>
      </c>
      <c r="F22" s="1534"/>
      <c r="G22" s="750" t="str">
        <f>"= "&amp;'Equipment Combat'!F475</f>
        <v>= 3</v>
      </c>
      <c r="H22" s="749" t="str">
        <f>'Equipment Combat'!F473</f>
        <v>DEX</v>
      </c>
      <c r="I22" s="749"/>
      <c r="J22" s="750" t="str">
        <f>"+ "&amp;'Equipment Combat'!F476</f>
        <v>+ 7</v>
      </c>
      <c r="K22" s="749" t="str">
        <f>'Equipment Combat'!F474</f>
        <v>Trained</v>
      </c>
      <c r="L22" s="749"/>
      <c r="M22" s="1355">
        <f>'Equipment Combat'!F477</f>
        <v>1</v>
      </c>
      <c r="N22" s="457" t="s">
        <v>505</v>
      </c>
      <c r="O22" s="1540" t="str">
        <f>CONCATENATE('Equipment Combat'!F483,'Equipment Combat'!F465)</f>
        <v>1d6</v>
      </c>
      <c r="P22" s="1541"/>
      <c r="Q22" s="1318" t="str">
        <f>"+"&amp;'Equipment Combat'!F482</f>
        <v>+0</v>
      </c>
      <c r="R22" s="753" t="str">
        <f>'Equipment Combat'!F481</f>
        <v>PRO</v>
      </c>
      <c r="S22" s="1356" t="str">
        <f>'Equipment Combat'!F466</f>
        <v>Bludgeoning</v>
      </c>
      <c r="T22" s="1357" t="str">
        <f>'Equipment Combat'!F471</f>
        <v>Sling</v>
      </c>
      <c r="U22" s="1358"/>
      <c r="V22" s="1357" t="str">
        <f>'Equipment Combat'!F459&amp;IF('Equipment Combat'!F460="-","",", "&amp;'Equipment Combat'!F460)&amp;IF('Equipment Combat'!F461="-","",", "&amp;'Equipment Combat'!F461)&amp;IF('Equipment Combat'!F462="-","",", "&amp;'Equipment Combat'!F462)&amp;IF('Equipment Combat'!F463="-","",", "&amp;'Equipment Combat'!F463)&amp;IF('Equipment Combat'!F468="-","",", "&amp;'Equipment Combat'!F468)&amp;IF('Equipment Combat'!F469="-","",", "&amp;'Equipment Combat'!F469)</f>
        <v>Simple, Propulsive, 50', Reload 1</v>
      </c>
      <c r="W22" s="1359"/>
      <c r="X22" s="1359"/>
      <c r="Y22" s="1359"/>
      <c r="Z22" s="1359"/>
      <c r="AA22" s="1359"/>
      <c r="AB22" s="1358"/>
      <c r="AC22" s="637"/>
    </row>
    <row r="23" spans="1:29" s="627" customFormat="1" ht="19.5" hidden="1" customHeight="1" outlineLevel="1" x14ac:dyDescent="0.25">
      <c r="A23" s="643"/>
      <c r="B23" s="1360" t="str">
        <f>'Equipment Combat'!F484</f>
        <v xml:space="preserve">  </v>
      </c>
      <c r="C23" s="1361"/>
      <c r="D23" s="1361"/>
      <c r="E23" s="1535">
        <f>'Equipment Combat'!F499</f>
        <v>0</v>
      </c>
      <c r="F23" s="1535"/>
      <c r="G23" s="751" t="str">
        <f>"= "&amp;'Equipment Combat'!F502</f>
        <v xml:space="preserve">=   </v>
      </c>
      <c r="H23" s="1362" t="str">
        <f>'Equipment Combat'!F500</f>
        <v xml:space="preserve">  </v>
      </c>
      <c r="I23" s="918"/>
      <c r="J23" s="751" t="str">
        <f>"+ "&amp;'Equipment Combat'!F503</f>
        <v xml:space="preserve">+   </v>
      </c>
      <c r="K23" s="918" t="str">
        <f>'Equipment Combat'!F501</f>
        <v xml:space="preserve">  </v>
      </c>
      <c r="L23" s="918"/>
      <c r="M23" s="1363" t="str">
        <f>'Equipment Combat'!F504</f>
        <v xml:space="preserve">  </v>
      </c>
      <c r="N23" s="457" t="s">
        <v>505</v>
      </c>
      <c r="O23" s="1542" t="str">
        <f>CONCATENATE('Equipment Combat'!F510,'Equipment Combat'!F492)</f>
        <v xml:space="preserve">    </v>
      </c>
      <c r="P23" s="1543"/>
      <c r="Q23" s="1319" t="str">
        <f>"+"&amp;'Equipment Combat'!F509</f>
        <v xml:space="preserve">+  </v>
      </c>
      <c r="R23" s="917" t="str">
        <f>'Equipment Combat'!F508</f>
        <v xml:space="preserve">  </v>
      </c>
      <c r="S23" s="1364" t="str">
        <f>'Equipment Combat'!F493</f>
        <v>-</v>
      </c>
      <c r="T23" s="1365" t="str">
        <f>'Equipment Combat'!F498</f>
        <v>-</v>
      </c>
      <c r="U23" s="1366"/>
      <c r="V23" s="1365" t="str">
        <f>'Equipment Combat'!F486&amp;IF('Equipment Combat'!F487="-","",", "&amp;'Equipment Combat'!F487)&amp;IF('Equipment Combat'!F488="-","",", "&amp;'Equipment Combat'!F488)&amp;IF('Equipment Combat'!F489="-","",", "&amp;'Equipment Combat'!F489)&amp;IF('Equipment Combat'!F490="-","",", "&amp;'Equipment Combat'!F490)&amp;IF('Equipment Combat'!F495="-","",", "&amp;'Equipment Combat'!F495)&amp;IF('Equipment Combat'!F496="-","",", "&amp;'Equipment Combat'!F496)</f>
        <v>-</v>
      </c>
      <c r="W23" s="1367"/>
      <c r="X23" s="1367"/>
      <c r="Y23" s="1367"/>
      <c r="Z23" s="1367"/>
      <c r="AA23" s="1367"/>
      <c r="AB23" s="1366"/>
      <c r="AC23" s="637"/>
    </row>
    <row r="24" spans="1:29" s="450" customFormat="1" ht="19.5" customHeight="1" collapsed="1" x14ac:dyDescent="0.3">
      <c r="A24" s="648"/>
      <c r="B24" s="1188" t="s">
        <v>19</v>
      </c>
      <c r="C24" s="1188"/>
      <c r="D24" s="641"/>
      <c r="E24" s="641"/>
      <c r="F24" s="641"/>
      <c r="G24" s="1565"/>
      <c r="H24" s="1565"/>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1189"/>
      <c r="P25" s="1189"/>
      <c r="Q25" s="1189"/>
      <c r="R25" s="489" t="s">
        <v>7</v>
      </c>
      <c r="S25" s="1189"/>
      <c r="T25" s="489" t="s">
        <v>79</v>
      </c>
      <c r="U25" s="1189"/>
      <c r="V25" s="1189"/>
      <c r="W25" s="489" t="s">
        <v>324</v>
      </c>
      <c r="X25" s="1189"/>
      <c r="Y25" s="1189"/>
      <c r="Z25" s="489" t="s">
        <v>342</v>
      </c>
      <c r="AA25" s="1189"/>
      <c r="AB25" s="489" t="s">
        <v>301</v>
      </c>
      <c r="AC25" s="637"/>
    </row>
    <row r="26" spans="1:29" ht="19.5" customHeight="1" x14ac:dyDescent="0.25">
      <c r="A26" s="643"/>
      <c r="B26" s="754" t="s">
        <v>20</v>
      </c>
      <c r="C26" s="755"/>
      <c r="D26" s="756">
        <f>Skills!F8</f>
        <v>10</v>
      </c>
      <c r="E26" s="732" t="s">
        <v>502</v>
      </c>
      <c r="F26" s="733">
        <f>Skills!F49</f>
        <v>3</v>
      </c>
      <c r="G26" s="733" t="s">
        <v>499</v>
      </c>
      <c r="H26" s="1339">
        <f>Skills!F175</f>
        <v>7</v>
      </c>
      <c r="I26" s="731" t="str">
        <f>Skills!F96</f>
        <v>Trained</v>
      </c>
      <c r="J26" s="731"/>
      <c r="K26" s="734" t="s">
        <v>499</v>
      </c>
      <c r="L26" s="734"/>
      <c r="M26" s="734" t="s">
        <v>499</v>
      </c>
      <c r="N26" s="735">
        <f>Skills!F277</f>
        <v>0</v>
      </c>
      <c r="O26" s="754" t="s">
        <v>60</v>
      </c>
      <c r="P26" s="755"/>
      <c r="Q26" s="1340"/>
      <c r="R26" s="756">
        <f>Skills!F25</f>
        <v>3</v>
      </c>
      <c r="S26" s="732" t="s">
        <v>502</v>
      </c>
      <c r="T26" s="733">
        <f>Skills!F63</f>
        <v>3</v>
      </c>
      <c r="U26" s="733" t="s">
        <v>499</v>
      </c>
      <c r="V26" s="733">
        <f>Skills!F189</f>
        <v>0</v>
      </c>
      <c r="W26" s="731" t="str">
        <f>Skills!F124</f>
        <v>Untrained</v>
      </c>
      <c r="X26" s="731"/>
      <c r="Y26" s="734" t="s">
        <v>499</v>
      </c>
      <c r="Z26" s="734"/>
      <c r="AA26" s="734" t="s">
        <v>499</v>
      </c>
      <c r="AB26" s="736"/>
      <c r="AC26" s="637"/>
    </row>
    <row r="27" spans="1:29" ht="19.5" customHeight="1" x14ac:dyDescent="0.25">
      <c r="A27" s="643"/>
      <c r="B27" s="757" t="s">
        <v>51</v>
      </c>
      <c r="C27" s="758"/>
      <c r="D27" s="759">
        <f>Skills!F9</f>
        <v>9</v>
      </c>
      <c r="E27" s="738" t="s">
        <v>502</v>
      </c>
      <c r="F27" s="739">
        <f>Skills!F50</f>
        <v>2</v>
      </c>
      <c r="G27" s="739" t="s">
        <v>499</v>
      </c>
      <c r="H27" s="1341">
        <f>Skills!F176</f>
        <v>7</v>
      </c>
      <c r="I27" s="737" t="str">
        <f>Skills!F98</f>
        <v>Trained</v>
      </c>
      <c r="J27" s="737"/>
      <c r="K27" s="740" t="s">
        <v>499</v>
      </c>
      <c r="L27" s="740"/>
      <c r="M27" s="740" t="s">
        <v>499</v>
      </c>
      <c r="N27" s="741"/>
      <c r="O27" s="757" t="s">
        <v>61</v>
      </c>
      <c r="P27" s="758"/>
      <c r="Q27" s="1342"/>
      <c r="R27" s="759">
        <f>Skills!F26</f>
        <v>11</v>
      </c>
      <c r="S27" s="738" t="s">
        <v>502</v>
      </c>
      <c r="T27" s="739">
        <f>Skills!F64</f>
        <v>4</v>
      </c>
      <c r="U27" s="739" t="s">
        <v>499</v>
      </c>
      <c r="V27" s="739">
        <f>Skills!F190</f>
        <v>7</v>
      </c>
      <c r="W27" s="737" t="str">
        <f>Skills!F126</f>
        <v>Trained</v>
      </c>
      <c r="X27" s="737"/>
      <c r="Y27" s="740" t="s">
        <v>499</v>
      </c>
      <c r="Z27" s="740"/>
      <c r="AA27" s="740" t="s">
        <v>499</v>
      </c>
      <c r="AB27" s="741"/>
      <c r="AC27" s="637"/>
    </row>
    <row r="28" spans="1:29" ht="19.5" customHeight="1" x14ac:dyDescent="0.25">
      <c r="A28" s="643"/>
      <c r="B28" s="757" t="s">
        <v>52</v>
      </c>
      <c r="C28" s="758"/>
      <c r="D28" s="759">
        <f>Skills!F10</f>
        <v>0</v>
      </c>
      <c r="E28" s="738" t="s">
        <v>502</v>
      </c>
      <c r="F28" s="739">
        <f>Skills!F51</f>
        <v>0</v>
      </c>
      <c r="G28" s="739" t="s">
        <v>499</v>
      </c>
      <c r="H28" s="1341">
        <f>Skills!F177</f>
        <v>0</v>
      </c>
      <c r="I28" s="737" t="str">
        <f>Skills!F100</f>
        <v>Untrained</v>
      </c>
      <c r="J28" s="737"/>
      <c r="K28" s="740" t="s">
        <v>499</v>
      </c>
      <c r="L28" s="740"/>
      <c r="M28" s="740" t="s">
        <v>499</v>
      </c>
      <c r="N28" s="742">
        <f>Skills!F278</f>
        <v>0</v>
      </c>
      <c r="O28" s="757" t="s">
        <v>62</v>
      </c>
      <c r="P28" s="758"/>
      <c r="Q28" s="758"/>
      <c r="R28" s="759">
        <f>Skills!F27</f>
        <v>2</v>
      </c>
      <c r="S28" s="738" t="s">
        <v>502</v>
      </c>
      <c r="T28" s="739">
        <f>Skills!F65</f>
        <v>2</v>
      </c>
      <c r="U28" s="739" t="s">
        <v>499</v>
      </c>
      <c r="V28" s="739">
        <f>Skills!F191</f>
        <v>0</v>
      </c>
      <c r="W28" s="737" t="str">
        <f>Skills!F128</f>
        <v>Untrained</v>
      </c>
      <c r="X28" s="737"/>
      <c r="Y28" s="740" t="s">
        <v>499</v>
      </c>
      <c r="Z28" s="740"/>
      <c r="AA28" s="740" t="s">
        <v>499</v>
      </c>
      <c r="AB28" s="741"/>
      <c r="AC28" s="637"/>
    </row>
    <row r="29" spans="1:29" ht="19.5" customHeight="1" x14ac:dyDescent="0.25">
      <c r="A29" s="643"/>
      <c r="B29" s="757" t="s">
        <v>53</v>
      </c>
      <c r="C29" s="758"/>
      <c r="D29" s="759">
        <f>Skills!F11</f>
        <v>2</v>
      </c>
      <c r="E29" s="738" t="s">
        <v>502</v>
      </c>
      <c r="F29" s="739">
        <f>Skills!F52</f>
        <v>2</v>
      </c>
      <c r="G29" s="739" t="s">
        <v>499</v>
      </c>
      <c r="H29" s="1341">
        <f>Skills!F178</f>
        <v>0</v>
      </c>
      <c r="I29" s="737" t="str">
        <f>Skills!F102</f>
        <v>Untrained</v>
      </c>
      <c r="J29" s="737"/>
      <c r="K29" s="740" t="s">
        <v>499</v>
      </c>
      <c r="L29" s="740"/>
      <c r="M29" s="740" t="s">
        <v>499</v>
      </c>
      <c r="N29" s="741"/>
      <c r="O29" s="757" t="s">
        <v>23</v>
      </c>
      <c r="P29" s="758"/>
      <c r="Q29" s="1342"/>
      <c r="R29" s="759">
        <f>Skills!F28</f>
        <v>10</v>
      </c>
      <c r="S29" s="738" t="s">
        <v>502</v>
      </c>
      <c r="T29" s="739">
        <f>Skills!F66</f>
        <v>3</v>
      </c>
      <c r="U29" s="739" t="s">
        <v>499</v>
      </c>
      <c r="V29" s="739">
        <f>Skills!F192</f>
        <v>7</v>
      </c>
      <c r="W29" s="737" t="str">
        <f>Skills!F130</f>
        <v>Trained</v>
      </c>
      <c r="X29" s="737"/>
      <c r="Y29" s="740" t="s">
        <v>499</v>
      </c>
      <c r="Z29" s="740"/>
      <c r="AA29" s="740" t="s">
        <v>499</v>
      </c>
      <c r="AB29" s="742">
        <f>Skills!F279</f>
        <v>0</v>
      </c>
      <c r="AC29" s="637"/>
    </row>
    <row r="30" spans="1:29" ht="19.5" customHeight="1" x14ac:dyDescent="0.25">
      <c r="A30" s="643"/>
      <c r="B30" s="757" t="s">
        <v>54</v>
      </c>
      <c r="C30" s="758"/>
      <c r="D30" s="759">
        <f>Skills!F12</f>
        <v>3</v>
      </c>
      <c r="E30" s="738" t="s">
        <v>502</v>
      </c>
      <c r="F30" s="739">
        <f>Skills!F53</f>
        <v>3</v>
      </c>
      <c r="G30" s="739" t="s">
        <v>499</v>
      </c>
      <c r="H30" s="1341">
        <f>Skills!F179</f>
        <v>0</v>
      </c>
      <c r="I30" s="737" t="str">
        <f>Skills!F104</f>
        <v>Untrained</v>
      </c>
      <c r="J30" s="737"/>
      <c r="K30" s="740" t="s">
        <v>499</v>
      </c>
      <c r="L30" s="740"/>
      <c r="M30" s="740" t="s">
        <v>499</v>
      </c>
      <c r="N30" s="741"/>
      <c r="O30" s="757" t="s">
        <v>24</v>
      </c>
      <c r="P30" s="758"/>
      <c r="Q30" s="1342"/>
      <c r="R30" s="759">
        <f>Skills!F29</f>
        <v>11</v>
      </c>
      <c r="S30" s="738" t="s">
        <v>502</v>
      </c>
      <c r="T30" s="739">
        <f>Skills!F67</f>
        <v>4</v>
      </c>
      <c r="U30" s="739" t="s">
        <v>499</v>
      </c>
      <c r="V30" s="739">
        <f>Skills!F193</f>
        <v>7</v>
      </c>
      <c r="W30" s="737" t="str">
        <f>Skills!F132</f>
        <v>Trained</v>
      </c>
      <c r="X30" s="737"/>
      <c r="Y30" s="740" t="s">
        <v>499</v>
      </c>
      <c r="Z30" s="740"/>
      <c r="AA30" s="740" t="s">
        <v>499</v>
      </c>
      <c r="AB30" s="741"/>
      <c r="AC30" s="637"/>
    </row>
    <row r="31" spans="1:29" ht="19.5" customHeight="1" x14ac:dyDescent="0.25">
      <c r="A31" s="643"/>
      <c r="B31" s="757" t="s">
        <v>21</v>
      </c>
      <c r="C31" s="758"/>
      <c r="D31" s="759">
        <f>Skills!F13</f>
        <v>12</v>
      </c>
      <c r="E31" s="738" t="s">
        <v>502</v>
      </c>
      <c r="F31" s="739">
        <f>Skills!F54</f>
        <v>3</v>
      </c>
      <c r="G31" s="739" t="s">
        <v>499</v>
      </c>
      <c r="H31" s="1341">
        <f>Skills!F180</f>
        <v>9</v>
      </c>
      <c r="I31" s="737" t="str">
        <f>Skills!F106</f>
        <v>Expert</v>
      </c>
      <c r="J31" s="737"/>
      <c r="K31" s="740" t="s">
        <v>499</v>
      </c>
      <c r="L31" s="740"/>
      <c r="M31" s="740" t="s">
        <v>499</v>
      </c>
      <c r="N31" s="741"/>
      <c r="O31" s="757" t="s">
        <v>63</v>
      </c>
      <c r="P31" s="758"/>
      <c r="Q31" s="1342"/>
      <c r="R31" s="759">
        <f>Skills!F30</f>
        <v>3</v>
      </c>
      <c r="S31" s="738" t="s">
        <v>502</v>
      </c>
      <c r="T31" s="739">
        <f>Skills!F68</f>
        <v>3</v>
      </c>
      <c r="U31" s="739" t="s">
        <v>499</v>
      </c>
      <c r="V31" s="739">
        <f>Skills!F194</f>
        <v>0</v>
      </c>
      <c r="W31" s="737" t="str">
        <f>Skills!F134</f>
        <v>Untrained</v>
      </c>
      <c r="X31" s="737"/>
      <c r="Y31" s="740" t="s">
        <v>499</v>
      </c>
      <c r="Z31" s="740"/>
      <c r="AA31" s="740" t="s">
        <v>499</v>
      </c>
      <c r="AB31" s="742">
        <f>Skills!F280</f>
        <v>0</v>
      </c>
      <c r="AC31" s="637"/>
    </row>
    <row r="32" spans="1:29" ht="19.5" customHeight="1" x14ac:dyDescent="0.25">
      <c r="A32" s="643"/>
      <c r="B32" s="757" t="s">
        <v>55</v>
      </c>
      <c r="C32" s="758"/>
      <c r="D32" s="759">
        <f>Skills!F14</f>
        <v>10</v>
      </c>
      <c r="E32" s="738" t="s">
        <v>502</v>
      </c>
      <c r="F32" s="739">
        <f>Skills!F55</f>
        <v>3</v>
      </c>
      <c r="G32" s="739" t="s">
        <v>499</v>
      </c>
      <c r="H32" s="1341">
        <f>Skills!F181</f>
        <v>7</v>
      </c>
      <c r="I32" s="737" t="str">
        <f>Skills!F108</f>
        <v>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",Skills!F17)</f>
        <v>&gt; Dragon</v>
      </c>
      <c r="C33" s="758"/>
      <c r="D33" s="759">
        <f>Skills!F16</f>
        <v>9</v>
      </c>
      <c r="E33" s="738" t="s">
        <v>502</v>
      </c>
      <c r="F33" s="739">
        <f>Skills!F57</f>
        <v>2</v>
      </c>
      <c r="G33" s="739" t="s">
        <v>499</v>
      </c>
      <c r="H33" s="1341">
        <f>Skills!F183</f>
        <v>7</v>
      </c>
      <c r="I33" s="737" t="str">
        <f>Skills!F112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customHeight="1" x14ac:dyDescent="0.25">
      <c r="A34" s="643"/>
      <c r="B34" s="1140" t="str">
        <f>IF(Skills!F19="","",CONCATENATE("&gt; ",Skills!F19))</f>
        <v>&gt; Elven</v>
      </c>
      <c r="C34" s="758"/>
      <c r="D34" s="759">
        <f>IF(Skills!F19="","",Skills!F18)</f>
        <v>9</v>
      </c>
      <c r="E34" s="738" t="s">
        <v>502</v>
      </c>
      <c r="F34" s="739">
        <f>IF(Skills!F19="","",Skills!F57)</f>
        <v>2</v>
      </c>
      <c r="G34" s="739" t="s">
        <v>499</v>
      </c>
      <c r="H34" s="1341">
        <f>Skills!F184</f>
        <v>7</v>
      </c>
      <c r="I34" s="737" t="str">
        <f>Skills!F114</f>
        <v>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x14ac:dyDescent="0.25">
      <c r="A35" s="643"/>
      <c r="B35" s="760" t="s">
        <v>57</v>
      </c>
      <c r="C35" s="758"/>
      <c r="D35" s="759">
        <f>Skills!F22</f>
        <v>13</v>
      </c>
      <c r="E35" s="738" t="s">
        <v>502</v>
      </c>
      <c r="F35" s="739">
        <f>Skills!F60</f>
        <v>4</v>
      </c>
      <c r="G35" s="739" t="s">
        <v>499</v>
      </c>
      <c r="H35" s="1341">
        <f>Skills!F186</f>
        <v>9</v>
      </c>
      <c r="I35" s="737" t="str">
        <f>Skills!F118</f>
        <v>Expert</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Skills!F23</f>
        <v>11</v>
      </c>
      <c r="E36" s="738" t="s">
        <v>502</v>
      </c>
      <c r="F36" s="739">
        <f>Skills!F61</f>
        <v>4</v>
      </c>
      <c r="G36" s="739" t="s">
        <v>499</v>
      </c>
      <c r="H36" s="1341">
        <f>Skills!F187</f>
        <v>7</v>
      </c>
      <c r="I36" s="737" t="str">
        <f>Skills!F120</f>
        <v>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Skills!F24</f>
        <v>2</v>
      </c>
      <c r="E37" s="743" t="s">
        <v>502</v>
      </c>
      <c r="F37" s="744">
        <f>Skills!F62</f>
        <v>2</v>
      </c>
      <c r="G37" s="744" t="s">
        <v>499</v>
      </c>
      <c r="H37" s="1344">
        <f>Skills!F188</f>
        <v>0</v>
      </c>
      <c r="I37" s="1345" t="str">
        <f>Skills!F122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hidden="1" customHeight="1" outlineLevel="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hidden="1" customHeight="1" outlineLevel="1" x14ac:dyDescent="0.25">
      <c r="A39" s="646"/>
      <c r="B39" s="722" t="str">
        <f>IF('Equipment Combat'!F512="","",'Equipment Combat'!F512&amp;" -&gt; Trigger : "&amp;'Equipment Combat'!F513&amp;"; Effect : "&amp;'Equipment Combat'!F514&amp;IF('Equipment Combat'!F515="",""," - "&amp;'Equipment Combat'!F515))</f>
        <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hidden="1" customHeight="1" outlineLevel="1" x14ac:dyDescent="0.25">
      <c r="A40" s="646"/>
      <c r="B40" s="725" t="str">
        <f>IF('Equipment Combat'!F516="","",'Equipment Combat'!F516&amp;" -&gt; Trigger : "&amp;'Equipment Combat'!F517&amp;"; Effect : "&amp;'Equipment Combat'!F518&amp;IF('Equipment Combat'!F519="",""," - "&amp;'Equipment Combat'!F519))</f>
        <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hidden="1" customHeight="1" outlineLevel="1" x14ac:dyDescent="0.25">
      <c r="A41" s="646"/>
      <c r="B41" s="725" t="str">
        <f>IF('Equipment Combat'!F520="","",'Equipment Combat'!F520&amp;" -&gt; Trigger : "&amp;'Equipment Combat'!F521&amp;"; Effect : "&amp;'Equipment Combat'!F522&amp;IF('Equipment Combat'!F523="",""," - "&amp;'Equipment Combat'!F523))</f>
        <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Combat'!F524="","",'Equipment Combat'!F524&amp;" -&gt; Trigger : "&amp;'Equipment Combat'!F525&amp;"; Effect : "&amp;'Equipment Combat'!F526&amp;IF('Equipment Combat'!F527="",""," - "&amp;'Equipment Combat'!F527))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Combat'!F528="","",'Equipment Combat'!F528&amp;" -&gt; Trigger : "&amp;'Equipment Combat'!F529&amp;"; Effect : "&amp;'Equipment Combat'!F530&amp;IF('Equipment Combat'!F531="",""," - "&amp;'Equipment Combat'!F531))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s="627" customFormat="1"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s="627" customFormat="1" ht="19.5" customHeight="1" x14ac:dyDescent="0.25">
      <c r="A48" s="656"/>
      <c r="B48" s="1328" t="str">
        <f>IF('Equipment Combat'!F7="","",'Equipment Combat'!F7&amp;" ("&amp;'Equipment Combat'!F114&amp;")")</f>
        <v>Backpack (Back)</v>
      </c>
      <c r="C48" s="1329"/>
      <c r="D48" s="1329"/>
      <c r="E48" s="1330"/>
      <c r="F48" s="1331"/>
      <c r="G48" s="714">
        <f>IF('Equipment Combat'!F60="","",'Equipment Combat'!F60)</f>
        <v>1</v>
      </c>
      <c r="H48" s="715" t="str">
        <f>IF('Equipment Combat'!F114="Stowed","["&amp;IF('Equipment Combat'!#REF!&lt;0.1,"",IF('Equipment Combat'!#REF!&lt;1,INT(10*'Equipment Combat'!#REF!)&amp;"L",INT('Equipment Combat'!#REF!)&amp;"B"))&amp;"]",IF('Equipment Combat'!F277&lt;0.1,"",IF('Equipment Combat'!F277&lt;1,INT(10*'Equipment Combat'!F277)&amp;"L",INT('Equipment Combat'!F277)&amp;"B")))</f>
        <v>1B</v>
      </c>
      <c r="I48" s="1328" t="str">
        <f>IF('Equipment Combat'!F20="","",'Equipment Combat'!F20&amp;" ("&amp;'Equipment Combat'!F127&amp;")")</f>
        <v>Religious symbol (wooden) (Worn)</v>
      </c>
      <c r="J48" s="1329"/>
      <c r="K48" s="1330"/>
      <c r="L48" s="1331"/>
      <c r="M48" s="1329"/>
      <c r="N48" s="714">
        <f>IF('Equipment Combat'!F73="","",'Equipment Combat'!F73)</f>
        <v>1</v>
      </c>
      <c r="O48" s="715" t="str">
        <f>IF('Equipment Combat'!F127="Stowed","["&amp;IF('Equipment Combat'!F234&lt;0.1,"",IF('Equipment Combat'!F234&lt;1,INT(10*'Equipment Combat'!F234)&amp;"L",INT('Equipment Combat'!F234)&amp;"B"))&amp;"]",IF('Equipment Combat'!F290&lt;0.1,"",IF('Equipment Combat'!F290&lt;1,INT(10*'Equipment Combat'!F290)&amp;"L",INT('Equipment Combat'!F290)&amp;"B")))</f>
        <v>1L</v>
      </c>
      <c r="P48" s="1328" t="str">
        <f>IF('Equipment Combat'!F33="","",'Equipment Combat'!F33&amp;" ("&amp;'Equipment Combat'!F140&amp;")")</f>
        <v>Silver Morningstar (1d6) (Worn)</v>
      </c>
      <c r="Q48" s="1329"/>
      <c r="R48" s="1330"/>
      <c r="S48" s="1331"/>
      <c r="T48" s="1329"/>
      <c r="U48" s="714">
        <f>IF('Equipment Combat'!F86="","",'Equipment Combat'!F86)</f>
        <v>1</v>
      </c>
      <c r="V48" s="715" t="str">
        <f>IF('Equipment Combat'!F140="Stowed","["&amp;IF('Equipment Combat'!F247&lt;0.1,"",IF('Equipment Combat'!F247&lt;1,INT(10*'Equipment Combat'!F247)&amp;"L",INT('Equipment Combat'!F247)&amp;"B"))&amp;"]",IF('Equipment Combat'!F303&lt;0.1,"",IF('Equipment Combat'!F303&lt;1,INT(10*'Equipment Combat'!F303)&amp;"L",INT('Equipment Combat'!F303)&amp;"B")))</f>
        <v>1B</v>
      </c>
      <c r="W48" s="1328" t="str">
        <f>IF('Equipment Combat'!F46="","",'Equipment Combat'!F46&amp;" ("&amp;'Equipment Combat'!F153&amp;")")</f>
        <v/>
      </c>
      <c r="X48" s="1329"/>
      <c r="Y48" s="1331"/>
      <c r="Z48" s="1329"/>
      <c r="AA48" s="714" t="str">
        <f>IF('Equipment Combat'!F99="","",'Equipment Combat'!F99)</f>
        <v/>
      </c>
      <c r="AB48" s="715" t="str">
        <f>IF('Equipment Combat'!F153="Stowed","["&amp;IF('Equipment Combat'!F260&lt;0.1,"",IF('Equipment Combat'!F260&lt;1,INT(10*'Equipment Combat'!F260)&amp;"L",INT('Equipment Combat'!F260)&amp;"B"))&amp;"]",IF('Equipment Combat'!F316&lt;0.1,"",IF('Equipment Combat'!F316&lt;1,INT(10*'Equipment Combat'!F316)&amp;"L",INT('Equipment Combat'!F316)&amp;"B")))</f>
        <v/>
      </c>
      <c r="AC48" s="637"/>
    </row>
    <row r="49" spans="1:29" s="627" customFormat="1" ht="19.5" customHeight="1" x14ac:dyDescent="0.25">
      <c r="A49" s="656"/>
      <c r="B49" s="1332" t="str">
        <f>IF('Equipment Combat'!F8="","",'Equipment Combat'!F8&amp;" ("&amp;'Equipment Combat'!F115&amp;")")</f>
        <v>Bedroll (Stowed)</v>
      </c>
      <c r="C49" s="1333"/>
      <c r="D49" s="1333"/>
      <c r="E49" s="1334"/>
      <c r="F49" s="1335"/>
      <c r="G49" s="716">
        <f>IF('Equipment Combat'!F61="","",'Equipment Combat'!F61)</f>
        <v>1</v>
      </c>
      <c r="H49" s="717" t="str">
        <f>IF('Equipment Combat'!F115="Stowed","["&amp;IF('Equipment Combat'!F222&lt;0.1,"",IF('Equipment Combat'!F222&lt;1,INT(10*'Equipment Combat'!F222)&amp;"L",INT('Equipment Combat'!F222)&amp;"B"))&amp;"]",IF('Equipment Combat'!F278&lt;0.1,"",IF('Equipment Combat'!F278&lt;1,INT(10*'Equipment Combat'!F278)&amp;"L",INT('Equipment Combat'!F278)&amp;"B")))</f>
        <v>[1L]</v>
      </c>
      <c r="I49" s="1332" t="str">
        <f>IF('Equipment Combat'!F21="","",'Equipment Combat'!F21&amp;" ("&amp;'Equipment Combat'!F128&amp;")")</f>
        <v>Healer's Tools (Worn)</v>
      </c>
      <c r="J49" s="1333"/>
      <c r="K49" s="1334"/>
      <c r="L49" s="1335"/>
      <c r="M49" s="1333"/>
      <c r="N49" s="716">
        <f>IF('Equipment Combat'!F74="","",'Equipment Combat'!F74)</f>
        <v>1</v>
      </c>
      <c r="O49" s="717" t="str">
        <f>IF('Equipment Combat'!F128="Stowed","["&amp;IF('Equipment Combat'!F235&lt;0.1,"",IF('Equipment Combat'!F235&lt;1,INT(10*'Equipment Combat'!F235)&amp;"L",INT('Equipment Combat'!F235)&amp;"B"))&amp;"]",IF('Equipment Combat'!F291&lt;0.1,"",IF('Equipment Combat'!F291&lt;1,INT(10*'Equipment Combat'!F291)&amp;"L",INT('Equipment Combat'!F291)&amp;"B")))</f>
        <v>1B</v>
      </c>
      <c r="P49" s="1332" t="str">
        <f>IF('Equipment Combat'!F34="","",'Equipment Combat'!F34&amp;" ("&amp;'Equipment Combat'!F141&amp;")")</f>
        <v/>
      </c>
      <c r="Q49" s="1333"/>
      <c r="R49" s="1334"/>
      <c r="S49" s="1335"/>
      <c r="T49" s="1333"/>
      <c r="U49" s="716" t="str">
        <f>IF('Equipment Combat'!F87="","",'Equipment Combat'!F87)</f>
        <v/>
      </c>
      <c r="V49" s="717" t="str">
        <f>IF('Equipment Combat'!F141="Stowed","["&amp;IF('Equipment Combat'!F248&lt;0.1,"",IF('Equipment Combat'!F248&lt;1,INT(10*'Equipment Combat'!F248)&amp;"L",INT('Equipment Combat'!F248)&amp;"B"))&amp;"]",IF('Equipment Combat'!F304&lt;0.1,"",IF('Equipment Combat'!F304&lt;1,INT(10*'Equipment Combat'!F304)&amp;"L",INT('Equipment Combat'!F304)&amp;"B")))</f>
        <v/>
      </c>
      <c r="W49" s="1332" t="str">
        <f>IF('Equipment Combat'!F47="","",'Equipment Combat'!F47&amp;" ("&amp;'Equipment Combat'!F154&amp;")")</f>
        <v/>
      </c>
      <c r="X49" s="1333"/>
      <c r="Y49" s="1335"/>
      <c r="Z49" s="1333"/>
      <c r="AA49" s="716" t="str">
        <f>IF('Equipment Combat'!F100="","",'Equipment Combat'!F100)</f>
        <v/>
      </c>
      <c r="AB49" s="717" t="str">
        <f>IF('Equipment Combat'!F154="Stowed","["&amp;IF('Equipment Combat'!F261&lt;0.1,"",IF('Equipment Combat'!F261&lt;1,INT(10*'Equipment Combat'!F261)&amp;"L",INT('Equipment Combat'!F261)&amp;"B"))&amp;"]",IF('Equipment Combat'!F317&lt;0.1,"",IF('Equipment Combat'!F317&lt;1,INT(10*'Equipment Combat'!F317)&amp;"L",INT('Equipment Combat'!F317)&amp;"B")))</f>
        <v/>
      </c>
      <c r="AC49" s="637"/>
    </row>
    <row r="50" spans="1:29" s="627" customFormat="1" ht="19.5" customHeight="1" x14ac:dyDescent="0.25">
      <c r="A50" s="656"/>
      <c r="B50" s="1332" t="str">
        <f>IF('Equipment Combat'!F9="","",'Equipment Combat'!F9&amp;" ("&amp;'Equipment Combat'!F116&amp;")")</f>
        <v>Chalk (Stowed)</v>
      </c>
      <c r="C50" s="1333"/>
      <c r="D50" s="1333"/>
      <c r="E50" s="1334"/>
      <c r="F50" s="1335"/>
      <c r="G50" s="716">
        <f>IF('Equipment Combat'!F62="","",'Equipment Combat'!F62)</f>
        <v>10</v>
      </c>
      <c r="H50" s="717" t="str">
        <f>IF('Equipment Combat'!F116="Stowed","["&amp;IF('Equipment Combat'!F223&lt;0.1,"",IF('Equipment Combat'!F223&lt;1,INT(10*'Equipment Combat'!F223)&amp;"L",INT('Equipment Combat'!F223)&amp;"B"))&amp;"]",IF('Equipment Combat'!F279&lt;0.1,"",IF('Equipment Combat'!F279&lt;1,INT(10*'Equipment Combat'!F279)&amp;"L",INT('Equipment Combat'!F279)&amp;"B")))</f>
        <v>[]</v>
      </c>
      <c r="I50" s="1332" t="str">
        <f>IF('Equipment Combat'!F22="","",'Equipment Combat'!F22&amp;" ("&amp;'Equipment Combat'!F129&amp;")")</f>
        <v>Mirror (Stowed)</v>
      </c>
      <c r="J50" s="1333"/>
      <c r="K50" s="1334"/>
      <c r="L50" s="1335"/>
      <c r="M50" s="1333"/>
      <c r="N50" s="716">
        <f>IF('Equipment Combat'!F75="","",'Equipment Combat'!F75)</f>
        <v>1</v>
      </c>
      <c r="O50" s="717" t="str">
        <f>IF('Equipment Combat'!F129="Stowed","["&amp;IF('Equipment Combat'!F236&lt;0.1,"",IF('Equipment Combat'!F236&lt;1,INT(10*'Equipment Combat'!F236)&amp;"L",INT('Equipment Combat'!F236)&amp;"B"))&amp;"]",IF('Equipment Combat'!F292&lt;0.1,"",IF('Equipment Combat'!F292&lt;1,INT(10*'Equipment Combat'!F292)&amp;"L",INT('Equipment Combat'!F292)&amp;"B")))</f>
        <v>[]</v>
      </c>
      <c r="P50" s="1332" t="str">
        <f>IF('Equipment Combat'!F35="","",'Equipment Combat'!F35&amp;" ("&amp;'Equipment Combat'!F142&amp;")")</f>
        <v/>
      </c>
      <c r="Q50" s="1333"/>
      <c r="R50" s="1334"/>
      <c r="S50" s="1335"/>
      <c r="T50" s="1333"/>
      <c r="U50" s="716" t="str">
        <f>IF('Equipment Combat'!F88="","",'Equipment Combat'!F88)</f>
        <v/>
      </c>
      <c r="V50" s="717" t="str">
        <f>IF('Equipment Combat'!F142="Stowed","["&amp;IF('Equipment Combat'!F249&lt;0.1,"",IF('Equipment Combat'!F249&lt;1,INT(10*'Equipment Combat'!F249)&amp;"L",INT('Equipment Combat'!F249)&amp;"B"))&amp;"]",IF('Equipment Combat'!F305&lt;0.1,"",IF('Equipment Combat'!F305&lt;1,INT(10*'Equipment Combat'!F305)&amp;"L",INT('Equipment Combat'!F305)&amp;"B")))</f>
        <v/>
      </c>
      <c r="W50" s="1332" t="str">
        <f>IF('Equipment Combat'!F48="","",'Equipment Combat'!F48&amp;" ("&amp;'Equipment Combat'!F155&amp;")")</f>
        <v/>
      </c>
      <c r="X50" s="1333"/>
      <c r="Y50" s="1335"/>
      <c r="Z50" s="1333"/>
      <c r="AA50" s="716" t="str">
        <f>IF('Equipment Combat'!F101="","",'Equipment Combat'!F101)</f>
        <v/>
      </c>
      <c r="AB50" s="717" t="str">
        <f>IF('Equipment Combat'!F155="Stowed","["&amp;IF('Equipment Combat'!F262&lt;0.1,"",IF('Equipment Combat'!F262&lt;1,INT(10*'Equipment Combat'!F262)&amp;"L",INT('Equipment Combat'!F262)&amp;"B"))&amp;"]",IF('Equipment Combat'!F318&lt;0.1,"",IF('Equipment Combat'!F318&lt;1,INT(10*'Equipment Combat'!F318)&amp;"L",INT('Equipment Combat'!F318)&amp;"B")))</f>
        <v/>
      </c>
      <c r="AC50" s="637"/>
    </row>
    <row r="51" spans="1:29" s="627" customFormat="1" ht="19.5" customHeight="1" x14ac:dyDescent="0.25">
      <c r="A51" s="656"/>
      <c r="B51" s="1332" t="str">
        <f>IF('Equipment Combat'!F10="","",'Equipment Combat'!F10&amp;" ("&amp;'Equipment Combat'!F117&amp;")")</f>
        <v>Flint and Steel (Stowed)</v>
      </c>
      <c r="C51" s="1333"/>
      <c r="D51" s="1333"/>
      <c r="E51" s="1334"/>
      <c r="F51" s="1335"/>
      <c r="G51" s="716">
        <f>IF('Equipment Combat'!F63="","",'Equipment Combat'!F63)</f>
        <v>1</v>
      </c>
      <c r="H51" s="717" t="str">
        <f>IF('Equipment Combat'!F117="Stowed","["&amp;IF('Equipment Combat'!F224&lt;0.1,"",IF('Equipment Combat'!F224&lt;1,INT(10*'Equipment Combat'!F224)&amp;"L",INT('Equipment Combat'!F224)&amp;"B"))&amp;"]",IF('Equipment Combat'!F280&lt;0.1,"",IF('Equipment Combat'!F280&lt;1,INT(10*'Equipment Combat'!F280)&amp;"L",INT('Equipment Combat'!F280)&amp;"B")))</f>
        <v>[]</v>
      </c>
      <c r="I51" s="1332" t="str">
        <f>IF('Equipment Combat'!F23="","",'Equipment Combat'!F23&amp;" ("&amp;'Equipment Combat'!F130&amp;")")</f>
        <v>Antidote (lesser) (Worn)</v>
      </c>
      <c r="J51" s="1333"/>
      <c r="K51" s="1334"/>
      <c r="L51" s="1335"/>
      <c r="M51" s="1333"/>
      <c r="N51" s="716">
        <f>IF('Equipment Combat'!F76="","",'Equipment Combat'!F76)</f>
        <v>1</v>
      </c>
      <c r="O51" s="717" t="str">
        <f>IF('Equipment Combat'!F130="Stowed","["&amp;IF('Equipment Combat'!F237&lt;0.1,"",IF('Equipment Combat'!F237&lt;1,INT(10*'Equipment Combat'!F237)&amp;"L",INT('Equipment Combat'!F237)&amp;"B"))&amp;"]",IF('Equipment Combat'!F293&lt;0.1,"",IF('Equipment Combat'!F293&lt;1,INT(10*'Equipment Combat'!F293)&amp;"L",INT('Equipment Combat'!F293)&amp;"B")))</f>
        <v>1L</v>
      </c>
      <c r="P51" s="1332" t="str">
        <f>IF('Equipment Combat'!F36="","",'Equipment Combat'!F36&amp;" ("&amp;'Equipment Combat'!F143&amp;")")</f>
        <v/>
      </c>
      <c r="Q51" s="1333"/>
      <c r="R51" s="1334"/>
      <c r="S51" s="1335"/>
      <c r="T51" s="1333"/>
      <c r="U51" s="716" t="str">
        <f>IF('Equipment Combat'!F89="","",'Equipment Combat'!F89)</f>
        <v/>
      </c>
      <c r="V51" s="717" t="str">
        <f>IF('Equipment Combat'!F143="Stowed","["&amp;IF('Equipment Combat'!F250&lt;0.1,"",IF('Equipment Combat'!F250&lt;1,INT(10*'Equipment Combat'!F250)&amp;"L",INT('Equipment Combat'!F250)&amp;"B"))&amp;"]",IF('Equipment Combat'!F306&lt;0.1,"",IF('Equipment Combat'!F306&lt;1,INT(10*'Equipment Combat'!F306)&amp;"L",INT('Equipment Combat'!F306)&amp;"B")))</f>
        <v/>
      </c>
      <c r="W51" s="1332" t="str">
        <f>IF('Equipment Combat'!F49="","",'Equipment Combat'!F49&amp;" ("&amp;'Equipment Combat'!F156&amp;")")</f>
        <v/>
      </c>
      <c r="X51" s="1333"/>
      <c r="Y51" s="1335"/>
      <c r="Z51" s="1333"/>
      <c r="AA51" s="716" t="str">
        <f>IF('Equipment Combat'!F102="","",'Equipment Combat'!F102)</f>
        <v/>
      </c>
      <c r="AB51" s="717" t="str">
        <f>IF('Equipment Combat'!F156="Stowed","["&amp;IF('Equipment Combat'!F263&lt;0.1,"",IF('Equipment Combat'!F263&lt;1,INT(10*'Equipment Combat'!F263)&amp;"L",INT('Equipment Combat'!F263)&amp;"B"))&amp;"]",IF('Equipment Combat'!F319&lt;0.1,"",IF('Equipment Combat'!F319&lt;1,INT(10*'Equipment Combat'!F319)&amp;"L",INT('Equipment Combat'!F319)&amp;"B")))</f>
        <v/>
      </c>
      <c r="AC51" s="637"/>
    </row>
    <row r="52" spans="1:29" s="627" customFormat="1" ht="19.5" customHeight="1" x14ac:dyDescent="0.25">
      <c r="A52" s="656"/>
      <c r="B52" s="1332" t="str">
        <f>IF('Equipment Combat'!F11="","",'Equipment Combat'!F11&amp;" ("&amp;'Equipment Combat'!F118&amp;")")</f>
        <v>Rations (day) (Stowed)</v>
      </c>
      <c r="C52" s="1333"/>
      <c r="D52" s="1333"/>
      <c r="E52" s="1334"/>
      <c r="F52" s="1335"/>
      <c r="G52" s="716">
        <f>IF('Equipment Combat'!F64="","",'Equipment Combat'!F64)</f>
        <v>28</v>
      </c>
      <c r="H52" s="717" t="str">
        <f>IF('Equipment Combat'!F118="Stowed","["&amp;IF('Equipment Combat'!F225&lt;0.1,"",IF('Equipment Combat'!F225&lt;1,INT(10*'Equipment Combat'!F225)&amp;"L",INT('Equipment Combat'!F225)&amp;"B"))&amp;"]",IF('Equipment Combat'!F281&lt;0.1,"",IF('Equipment Combat'!F281&lt;1,INT(10*'Equipment Combat'!F281)&amp;"L",INT('Equipment Combat'!F281)&amp;"B")))</f>
        <v>[4L]</v>
      </c>
      <c r="I52" s="1332" t="str">
        <f>IF('Equipment Combat'!F24="","",'Equipment Combat'!F24&amp;" ("&amp;'Equipment Combat'!F131&amp;")")</f>
        <v>Lesser Bottled Lightning (Worn)</v>
      </c>
      <c r="J52" s="1333"/>
      <c r="K52" s="1334"/>
      <c r="L52" s="1335"/>
      <c r="M52" s="1333"/>
      <c r="N52" s="716">
        <f>IF('Equipment Combat'!F77="","",'Equipment Combat'!F77)</f>
        <v>1</v>
      </c>
      <c r="O52" s="717" t="str">
        <f>IF('Equipment Combat'!F131="Stowed","["&amp;IF('Equipment Combat'!F238&lt;0.1,"",IF('Equipment Combat'!F238&lt;1,INT(10*'Equipment Combat'!F238)&amp;"L",INT('Equipment Combat'!F238)&amp;"B"))&amp;"]",IF('Equipment Combat'!F294&lt;0.1,"",IF('Equipment Combat'!F294&lt;1,INT(10*'Equipment Combat'!F294)&amp;"L",INT('Equipment Combat'!F294)&amp;"B")))</f>
        <v>1L</v>
      </c>
      <c r="P52" s="1332" t="str">
        <f>IF('Equipment Combat'!F37="","",'Equipment Combat'!F37&amp;" ("&amp;'Equipment Combat'!F144&amp;")")</f>
        <v/>
      </c>
      <c r="Q52" s="1333"/>
      <c r="R52" s="1334"/>
      <c r="S52" s="1335"/>
      <c r="T52" s="1333"/>
      <c r="U52" s="716" t="str">
        <f>IF('Equipment Combat'!F90="","",'Equipment Combat'!F90)</f>
        <v/>
      </c>
      <c r="V52" s="717" t="str">
        <f>IF('Equipment Combat'!F144="Stowed","["&amp;IF('Equipment Combat'!F251&lt;0.1,"",IF('Equipment Combat'!F251&lt;1,INT(10*'Equipment Combat'!F251)&amp;"L",INT('Equipment Combat'!F251)&amp;"B"))&amp;"]",IF('Equipment Combat'!F307&lt;0.1,"",IF('Equipment Combat'!F307&lt;1,INT(10*'Equipment Combat'!F307)&amp;"L",INT('Equipment Combat'!F307)&amp;"B")))</f>
        <v/>
      </c>
      <c r="W52" s="1332" t="str">
        <f>IF('Equipment Combat'!F50="","",'Equipment Combat'!F50&amp;" ("&amp;'Equipment Combat'!F157&amp;")")</f>
        <v/>
      </c>
      <c r="X52" s="1333"/>
      <c r="Y52" s="1335"/>
      <c r="Z52" s="1333"/>
      <c r="AA52" s="716" t="str">
        <f>IF('Equipment Combat'!F103="","",'Equipment Combat'!F103)</f>
        <v/>
      </c>
      <c r="AB52" s="717" t="str">
        <f>IF('Equipment Combat'!F157="Stowed","["&amp;IF('Equipment Combat'!F264&lt;0.1,"",IF('Equipment Combat'!F264&lt;1,INT(10*'Equipment Combat'!F264)&amp;"L",INT('Equipment Combat'!F264)&amp;"B"))&amp;"]",IF('Equipment Combat'!F320&lt;0.1,"",IF('Equipment Combat'!F320&lt;1,INT(10*'Equipment Combat'!F320)&amp;"L",INT('Equipment Combat'!F320)&amp;"B")))</f>
        <v/>
      </c>
      <c r="AC52" s="637"/>
    </row>
    <row r="53" spans="1:29" s="627" customFormat="1" ht="19.5" customHeight="1" x14ac:dyDescent="0.25">
      <c r="A53" s="656"/>
      <c r="B53" s="1332" t="str">
        <f>IF('Equipment Combat'!F12="","",'Equipment Combat'!F12&amp;" ("&amp;'Equipment Combat'!F119&amp;")")</f>
        <v>Rope 50' (Stowed)</v>
      </c>
      <c r="C53" s="1333"/>
      <c r="D53" s="1333"/>
      <c r="E53" s="1334"/>
      <c r="F53" s="1335"/>
      <c r="G53" s="716">
        <f>IF('Equipment Combat'!F65="","",'Equipment Combat'!F65)</f>
        <v>1</v>
      </c>
      <c r="H53" s="717" t="str">
        <f>IF('Equipment Combat'!F119="Stowed","["&amp;IF('Equipment Combat'!F226&lt;0.1,"",IF('Equipment Combat'!F226&lt;1,INT(10*'Equipment Combat'!F226)&amp;"L",INT('Equipment Combat'!F226)&amp;"B"))&amp;"]",IF('Equipment Combat'!F282&lt;0.1,"",IF('Equipment Combat'!F282&lt;1,INT(10*'Equipment Combat'!F282)&amp;"L",INT('Equipment Combat'!F282)&amp;"B")))</f>
        <v>[1L]</v>
      </c>
      <c r="I53" s="1332" t="str">
        <f>IF('Equipment Combat'!F25="","",'Equipment Combat'!F25&amp;" ("&amp;'Equipment Combat'!F132&amp;")")</f>
        <v>Emperor Bird Feather (large) (Stowed)</v>
      </c>
      <c r="J53" s="1333"/>
      <c r="K53" s="1334"/>
      <c r="L53" s="1335"/>
      <c r="M53" s="1333"/>
      <c r="N53" s="716">
        <f>IF('Equipment Combat'!F78="","",'Equipment Combat'!F78)</f>
        <v>1</v>
      </c>
      <c r="O53" s="717" t="str">
        <f>IF('Equipment Combat'!F132="Stowed","["&amp;IF('Equipment Combat'!F239&lt;0.1,"",IF('Equipment Combat'!F239&lt;1,INT(10*'Equipment Combat'!F239)&amp;"L",INT('Equipment Combat'!F239)&amp;"B"))&amp;"]",IF('Equipment Combat'!F295&lt;0.1,"",IF('Equipment Combat'!F295&lt;1,INT(10*'Equipment Combat'!F295)&amp;"L",INT('Equipment Combat'!F295)&amp;"B")))</f>
        <v>[2B]</v>
      </c>
      <c r="P53" s="1332" t="str">
        <f>IF('Equipment Combat'!F38="","",'Equipment Combat'!F38&amp;" ("&amp;'Equipment Combat'!F145&amp;")")</f>
        <v/>
      </c>
      <c r="Q53" s="1333"/>
      <c r="R53" s="1334"/>
      <c r="S53" s="1335"/>
      <c r="T53" s="1333"/>
      <c r="U53" s="716" t="str">
        <f>IF('Equipment Combat'!F91="","",'Equipment Combat'!F91)</f>
        <v/>
      </c>
      <c r="V53" s="717" t="str">
        <f>IF('Equipment Combat'!F145="Stowed","["&amp;IF('Equipment Combat'!F252&lt;0.1,"",IF('Equipment Combat'!F252&lt;1,INT(10*'Equipment Combat'!F252)&amp;"L",INT('Equipment Combat'!F252)&amp;"B"))&amp;"]",IF('Equipment Combat'!F308&lt;0.1,"",IF('Equipment Combat'!F308&lt;1,INT(10*'Equipment Combat'!F308)&amp;"L",INT('Equipment Combat'!F308)&amp;"B")))</f>
        <v/>
      </c>
      <c r="W53" s="1332" t="str">
        <f>IF('Equipment Combat'!F51="","",'Equipment Combat'!F51&amp;" ("&amp;'Equipment Combat'!F158&amp;")")</f>
        <v/>
      </c>
      <c r="X53" s="1333"/>
      <c r="Y53" s="1335"/>
      <c r="Z53" s="1333"/>
      <c r="AA53" s="716" t="str">
        <f>IF('Equipment Combat'!F104="","",'Equipment Combat'!F104)</f>
        <v/>
      </c>
      <c r="AB53" s="717" t="str">
        <f>IF('Equipment Combat'!F158="Stowed","["&amp;IF('Equipment Combat'!F265&lt;0.1,"",IF('Equipment Combat'!F265&lt;1,INT(10*'Equipment Combat'!F265)&amp;"L",INT('Equipment Combat'!F265)&amp;"B"))&amp;"]",IF('Equipment Combat'!F321&lt;0.1,"",IF('Equipment Combat'!F321&lt;1,INT(10*'Equipment Combat'!F321)&amp;"L",INT('Equipment Combat'!F321)&amp;"B")))</f>
        <v/>
      </c>
      <c r="AC53" s="637"/>
    </row>
    <row r="54" spans="1:29" s="627" customFormat="1" ht="19.5" customHeight="1" x14ac:dyDescent="0.25">
      <c r="A54" s="656"/>
      <c r="B54" s="1332" t="str">
        <f>IF('Equipment Combat'!F13="","",'Equipment Combat'!F13&amp;" ("&amp;'Equipment Combat'!F120&amp;")")</f>
        <v>Soap (Stowed)</v>
      </c>
      <c r="C54" s="1333"/>
      <c r="D54" s="1333"/>
      <c r="E54" s="1334"/>
      <c r="F54" s="1335"/>
      <c r="G54" s="716">
        <f>IF('Equipment Combat'!F66="","",'Equipment Combat'!F66)</f>
        <v>1</v>
      </c>
      <c r="H54" s="717" t="str">
        <f>IF('Equipment Combat'!F120="Stowed","["&amp;IF('Equipment Combat'!F227&lt;0.1,"",IF('Equipment Combat'!F227&lt;1,INT(10*'Equipment Combat'!F227)&amp;"L",INT('Equipment Combat'!F227)&amp;"B"))&amp;"]",IF('Equipment Combat'!F283&lt;0.1,"",IF('Equipment Combat'!F283&lt;1,INT(10*'Equipment Combat'!F283)&amp;"L",INT('Equipment Combat'!F283)&amp;"B")))</f>
        <v>[]</v>
      </c>
      <c r="I54" s="1332" t="str">
        <f>IF('Equipment Combat'!F26="","",'Equipment Combat'!F26&amp;" ("&amp;'Equipment Combat'!F133&amp;")")</f>
        <v>Mosquito Repelant (5 sp) (Worn)</v>
      </c>
      <c r="J54" s="1333"/>
      <c r="K54" s="1334"/>
      <c r="L54" s="1335"/>
      <c r="M54" s="1333"/>
      <c r="N54" s="716">
        <f>IF('Equipment Combat'!F79="","",'Equipment Combat'!F79)</f>
        <v>10</v>
      </c>
      <c r="O54" s="717" t="str">
        <f>IF('Equipment Combat'!F133="Stowed","["&amp;IF('Equipment Combat'!F240&lt;0.1,"",IF('Equipment Combat'!F240&lt;1,INT(10*'Equipment Combat'!F240)&amp;"L",INT('Equipment Combat'!F240)&amp;"B"))&amp;"]",IF('Equipment Combat'!F296&lt;0.1,"",IF('Equipment Combat'!F296&lt;1,INT(10*'Equipment Combat'!F296)&amp;"L",INT('Equipment Combat'!F296)&amp;"B")))</f>
        <v>1B</v>
      </c>
      <c r="P54" s="1332" t="str">
        <f>IF('Equipment Combat'!F39="","",'Equipment Combat'!F39&amp;" ("&amp;'Equipment Combat'!F146&amp;")")</f>
        <v/>
      </c>
      <c r="Q54" s="1333"/>
      <c r="R54" s="1334"/>
      <c r="S54" s="1335"/>
      <c r="T54" s="1333"/>
      <c r="U54" s="716" t="str">
        <f>IF('Equipment Combat'!F92="","",'Equipment Combat'!F92)</f>
        <v/>
      </c>
      <c r="V54" s="717" t="str">
        <f>IF('Equipment Combat'!F146="Stowed","["&amp;IF('Equipment Combat'!F253&lt;0.1,"",IF('Equipment Combat'!F253&lt;1,INT(10*'Equipment Combat'!F253)&amp;"L",INT('Equipment Combat'!F253)&amp;"B"))&amp;"]",IF('Equipment Combat'!F309&lt;0.1,"",IF('Equipment Combat'!F309&lt;1,INT(10*'Equipment Combat'!F309)&amp;"L",INT('Equipment Combat'!F309)&amp;"B")))</f>
        <v/>
      </c>
      <c r="W54" s="1332" t="str">
        <f>IF('Equipment Combat'!F52="","",'Equipment Combat'!F52&amp;" ("&amp;'Equipment Combat'!F159&amp;")")</f>
        <v/>
      </c>
      <c r="X54" s="1333"/>
      <c r="Y54" s="1335"/>
      <c r="Z54" s="1333"/>
      <c r="AA54" s="716" t="str">
        <f>IF('Equipment Combat'!F105="","",'Equipment Combat'!F105)</f>
        <v/>
      </c>
      <c r="AB54" s="717" t="str">
        <f>IF('Equipment Combat'!F159="Stowed","["&amp;IF('Equipment Combat'!F266&lt;0.1,"",IF('Equipment Combat'!F266&lt;1,INT(10*'Equipment Combat'!F266)&amp;"L",INT('Equipment Combat'!F266)&amp;"B"))&amp;"]",IF('Equipment Combat'!F322&lt;0.1,"",IF('Equipment Combat'!F322&lt;1,INT(10*'Equipment Combat'!F322)&amp;"L",INT('Equipment Combat'!F322)&amp;"B")))</f>
        <v/>
      </c>
      <c r="AC54" s="637"/>
    </row>
    <row r="55" spans="1:29" s="627" customFormat="1" ht="19.5" customHeight="1" x14ac:dyDescent="0.25">
      <c r="A55" s="656"/>
      <c r="B55" s="1332" t="str">
        <f>IF('Equipment Combat'!F14="","",'Equipment Combat'!F14&amp;" ("&amp;'Equipment Combat'!F121&amp;")")</f>
        <v>Torch (Stowed)</v>
      </c>
      <c r="C55" s="1333"/>
      <c r="D55" s="1333"/>
      <c r="E55" s="1334"/>
      <c r="F55" s="1335"/>
      <c r="G55" s="716">
        <f>IF('Equipment Combat'!F67="","",'Equipment Combat'!F67)</f>
        <v>5</v>
      </c>
      <c r="H55" s="717" t="str">
        <f>IF('Equipment Combat'!F121="Stowed","["&amp;IF('Equipment Combat'!F228&lt;0.1,"",IF('Equipment Combat'!F228&lt;1,INT(10*'Equipment Combat'!F228)&amp;"L",INT('Equipment Combat'!F228)&amp;"B"))&amp;"]",IF('Equipment Combat'!F284&lt;0.1,"",IF('Equipment Combat'!F284&lt;1,INT(10*'Equipment Combat'!F284)&amp;"L",INT('Equipment Combat'!F284)&amp;"B")))</f>
        <v>[5L]</v>
      </c>
      <c r="I55" s="1332" t="str">
        <f>IF('Equipment Combat'!F27="","",'Equipment Combat'!F27&amp;" ("&amp;'Equipment Combat'!F134&amp;")")</f>
        <v>Scroll of Heal (L2) (Worn)</v>
      </c>
      <c r="J55" s="1333"/>
      <c r="K55" s="1334"/>
      <c r="L55" s="1335"/>
      <c r="M55" s="1333"/>
      <c r="N55" s="716">
        <f>IF('Equipment Combat'!F80="","",'Equipment Combat'!F80)</f>
        <v>1</v>
      </c>
      <c r="O55" s="717" t="str">
        <f>IF('Equipment Combat'!F134="Stowed","["&amp;IF('Equipment Combat'!F241&lt;0.1,"",IF('Equipment Combat'!F241&lt;1,INT(10*'Equipment Combat'!F241)&amp;"L",INT('Equipment Combat'!F241)&amp;"B"))&amp;"]",IF('Equipment Combat'!F297&lt;0.1,"",IF('Equipment Combat'!F297&lt;1,INT(10*'Equipment Combat'!F297)&amp;"L",INT('Equipment Combat'!F297)&amp;"B")))</f>
        <v>1L</v>
      </c>
      <c r="P55" s="1332" t="str">
        <f>IF('Equipment Combat'!F40="","",'Equipment Combat'!F40&amp;" ("&amp;'Equipment Combat'!F147&amp;")")</f>
        <v/>
      </c>
      <c r="Q55" s="1333"/>
      <c r="R55" s="1334"/>
      <c r="S55" s="1335"/>
      <c r="T55" s="1333"/>
      <c r="U55" s="716" t="str">
        <f>IF('Equipment Combat'!F93="","",'Equipment Combat'!F93)</f>
        <v/>
      </c>
      <c r="V55" s="717" t="str">
        <f>IF('Equipment Combat'!F147="Stowed","["&amp;IF('Equipment Combat'!F254&lt;0.1,"",IF('Equipment Combat'!F254&lt;1,INT(10*'Equipment Combat'!F254)&amp;"L",INT('Equipment Combat'!F254)&amp;"B"))&amp;"]",IF('Equipment Combat'!F310&lt;0.1,"",IF('Equipment Combat'!F310&lt;1,INT(10*'Equipment Combat'!F310)&amp;"L",INT('Equipment Combat'!F310)&amp;"B")))</f>
        <v/>
      </c>
      <c r="W55" s="1332" t="str">
        <f>IF('Equipment Combat'!F53="","",'Equipment Combat'!F53&amp;" ("&amp;'Equipment Combat'!F160&amp;")")</f>
        <v/>
      </c>
      <c r="X55" s="1333"/>
      <c r="Y55" s="1335"/>
      <c r="Z55" s="1333"/>
      <c r="AA55" s="716" t="str">
        <f>IF('Equipment Combat'!F106="","",'Equipment Combat'!F106)</f>
        <v/>
      </c>
      <c r="AB55" s="717" t="str">
        <f>IF('Equipment Combat'!F160="Stowed","["&amp;IF('Equipment Combat'!F267&lt;0.1,"",IF('Equipment Combat'!F267&lt;1,INT(10*'Equipment Combat'!F267)&amp;"L",INT('Equipment Combat'!F267)&amp;"B"))&amp;"]",IF('Equipment Combat'!F323&lt;0.1,"",IF('Equipment Combat'!F323&lt;1,INT(10*'Equipment Combat'!F323)&amp;"L",INT('Equipment Combat'!F323)&amp;"B")))</f>
        <v/>
      </c>
      <c r="AC55" s="637"/>
    </row>
    <row r="56" spans="1:29" s="627" customFormat="1" ht="19.5" customHeight="1" x14ac:dyDescent="0.25">
      <c r="A56" s="656"/>
      <c r="B56" s="1332" t="str">
        <f>IF('Equipment Combat'!F15="","",'Equipment Combat'!F15&amp;" ("&amp;'Equipment Combat'!F122&amp;")")</f>
        <v>Waterskin (Stowed)</v>
      </c>
      <c r="C56" s="1333"/>
      <c r="D56" s="1333"/>
      <c r="E56" s="1334"/>
      <c r="F56" s="1335"/>
      <c r="G56" s="716">
        <f>IF('Equipment Combat'!F68="","",'Equipment Combat'!F68)</f>
        <v>1</v>
      </c>
      <c r="H56" s="717" t="str">
        <f>IF('Equipment Combat'!F122="Stowed","["&amp;IF('Equipment Combat'!F229&lt;0.1,"",IF('Equipment Combat'!F229&lt;1,INT(10*'Equipment Combat'!F229)&amp;"L",INT('Equipment Combat'!F229)&amp;"B"))&amp;"]",IF('Equipment Combat'!F285&lt;0.1,"",IF('Equipment Combat'!F285&lt;1,INT(10*'Equipment Combat'!F285)&amp;"L",INT('Equipment Combat'!F285)&amp;"B")))</f>
        <v>[1L]</v>
      </c>
      <c r="I56" s="1332" t="str">
        <f>IF('Equipment Combat'!F28="","",'Equipment Combat'!F28&amp;" ("&amp;'Equipment Combat'!F135&amp;")")</f>
        <v>Silk Pyjama (25 gp) (Stowed)</v>
      </c>
      <c r="J56" s="1333"/>
      <c r="K56" s="1334"/>
      <c r="L56" s="1335"/>
      <c r="M56" s="1333"/>
      <c r="N56" s="716">
        <f>IF('Equipment Combat'!F81="","",'Equipment Combat'!F81)</f>
        <v>1</v>
      </c>
      <c r="O56" s="717" t="str">
        <f>IF('Equipment Combat'!F135="Stowed","["&amp;IF('Equipment Combat'!F242&lt;0.1,"",IF('Equipment Combat'!F242&lt;1,INT(10*'Equipment Combat'!F242)&amp;"L",INT('Equipment Combat'!F242)&amp;"B"))&amp;"]",IF('Equipment Combat'!F298&lt;0.1,"",IF('Equipment Combat'!F298&lt;1,INT(10*'Equipment Combat'!F298)&amp;"L",INT('Equipment Combat'!F298)&amp;"B")))</f>
        <v>[1L]</v>
      </c>
      <c r="P56" s="1332" t="str">
        <f>IF('Equipment Combat'!F41="","",'Equipment Combat'!F41&amp;" ("&amp;'Equipment Combat'!F148&amp;")")</f>
        <v/>
      </c>
      <c r="Q56" s="1333"/>
      <c r="R56" s="1334"/>
      <c r="S56" s="1335"/>
      <c r="T56" s="1333"/>
      <c r="U56" s="716" t="str">
        <f>IF('Equipment Combat'!F94="","",'Equipment Combat'!F94)</f>
        <v/>
      </c>
      <c r="V56" s="717" t="str">
        <f>IF('Equipment Combat'!F148="Stowed","["&amp;IF('Equipment Combat'!F255&lt;0.1,"",IF('Equipment Combat'!F255&lt;1,INT(10*'Equipment Combat'!F255)&amp;"L",INT('Equipment Combat'!F255)&amp;"B"))&amp;"]",IF('Equipment Combat'!F311&lt;0.1,"",IF('Equipment Combat'!F311&lt;1,INT(10*'Equipment Combat'!F311)&amp;"L",INT('Equipment Combat'!F311)&amp;"B")))</f>
        <v/>
      </c>
      <c r="W56" s="1332" t="str">
        <f>IF('Equipment Combat'!F54="","",'Equipment Combat'!F54&amp;" ("&amp;'Equipment Combat'!F161&amp;")")</f>
        <v/>
      </c>
      <c r="X56" s="1333"/>
      <c r="Y56" s="1335"/>
      <c r="Z56" s="1333"/>
      <c r="AA56" s="716" t="str">
        <f>IF('Equipment Combat'!F107="","",'Equipment Combat'!F107)</f>
        <v/>
      </c>
      <c r="AB56" s="717" t="str">
        <f>IF('Equipment Combat'!F161="Stowed","["&amp;IF('Equipment Combat'!F268&lt;0.1,"",IF('Equipment Combat'!F268&lt;1,INT(10*'Equipment Combat'!F268)&amp;"L",INT('Equipment Combat'!F268)&amp;"B"))&amp;"]",IF('Equipment Combat'!F324&lt;0.1,"",IF('Equipment Combat'!F324&lt;1,INT(10*'Equipment Combat'!F324)&amp;"L",INT('Equipment Combat'!F324)&amp;"B")))</f>
        <v/>
      </c>
      <c r="AC56" s="637"/>
    </row>
    <row r="57" spans="1:29" s="627" customFormat="1" ht="19.5" customHeight="1" x14ac:dyDescent="0.25">
      <c r="A57" s="656"/>
      <c r="B57" s="1332" t="str">
        <f>IF('Equipment Combat'!F16="","",'Equipment Combat'!F16&amp;" ("&amp;'Equipment Combat'!F123&amp;")")</f>
        <v>Dagger (1d4) (Worn)</v>
      </c>
      <c r="C57" s="1333"/>
      <c r="D57" s="1333"/>
      <c r="E57" s="1334"/>
      <c r="F57" s="1335"/>
      <c r="G57" s="716">
        <f>IF('Equipment Combat'!F69="","",'Equipment Combat'!F69)</f>
        <v>1</v>
      </c>
      <c r="H57" s="717" t="str">
        <f>IF('Equipment Combat'!F123="Stowed","["&amp;IF('Equipment Combat'!F230&lt;0.1,"",IF('Equipment Combat'!F230&lt;1,INT(10*'Equipment Combat'!F230)&amp;"L",INT('Equipment Combat'!F230)&amp;"B"))&amp;"]",IF('Equipment Combat'!F286&lt;0.1,"",IF('Equipment Combat'!F286&lt;1,INT(10*'Equipment Combat'!F286)&amp;"L",INT('Equipment Combat'!F286)&amp;"B")))</f>
        <v>1L</v>
      </c>
      <c r="I57" s="1332" t="str">
        <f>IF('Equipment Combat'!F29="","",'Equipment Combat'!F29&amp;" ("&amp;'Equipment Combat'!F136&amp;")")</f>
        <v>Elixir of Life (Lesser) (Worn)</v>
      </c>
      <c r="J57" s="1333"/>
      <c r="K57" s="1334"/>
      <c r="L57" s="1335"/>
      <c r="M57" s="1333"/>
      <c r="N57" s="716">
        <f>IF('Equipment Combat'!F82="","",'Equipment Combat'!F82)</f>
        <v>1</v>
      </c>
      <c r="O57" s="717" t="str">
        <f>IF('Equipment Combat'!F136="Stowed","["&amp;IF('Equipment Combat'!F243&lt;0.1,"",IF('Equipment Combat'!F243&lt;1,INT(10*'Equipment Combat'!F243)&amp;"L",INT('Equipment Combat'!F243)&amp;"B"))&amp;"]",IF('Equipment Combat'!F299&lt;0.1,"",IF('Equipment Combat'!F299&lt;1,INT(10*'Equipment Combat'!F299)&amp;"L",INT('Equipment Combat'!F299)&amp;"B")))</f>
        <v>1L</v>
      </c>
      <c r="P57" s="1332" t="str">
        <f>IF('Equipment Combat'!F42="","",'Equipment Combat'!F42&amp;" ("&amp;'Equipment Combat'!F149&amp;")")</f>
        <v/>
      </c>
      <c r="Q57" s="1333"/>
      <c r="R57" s="1334"/>
      <c r="S57" s="1335"/>
      <c r="T57" s="1333"/>
      <c r="U57" s="716" t="str">
        <f>IF('Equipment Combat'!F95="","",'Equipment Combat'!F95)</f>
        <v/>
      </c>
      <c r="V57" s="717" t="str">
        <f>IF('Equipment Combat'!F149="Stowed","["&amp;IF('Equipment Combat'!F256&lt;0.1,"",IF('Equipment Combat'!F256&lt;1,INT(10*'Equipment Combat'!F256)&amp;"L",INT('Equipment Combat'!F256)&amp;"B"))&amp;"]",IF('Equipment Combat'!F312&lt;0.1,"",IF('Equipment Combat'!F312&lt;1,INT(10*'Equipment Combat'!F312)&amp;"L",INT('Equipment Combat'!F312)&amp;"B")))</f>
        <v/>
      </c>
      <c r="W57" s="1332" t="str">
        <f>IF('Equipment Combat'!F55="","",'Equipment Combat'!F55&amp;" ("&amp;'Equipment Combat'!F162&amp;")")</f>
        <v/>
      </c>
      <c r="X57" s="1333"/>
      <c r="Y57" s="1335"/>
      <c r="Z57" s="1333"/>
      <c r="AA57" s="716" t="str">
        <f>IF('Equipment Combat'!F108="","",'Equipment Combat'!F108)</f>
        <v/>
      </c>
      <c r="AB57" s="717" t="str">
        <f>IF('Equipment Combat'!F162="Stowed","["&amp;IF('Equipment Combat'!F269&lt;0.1,"",IF('Equipment Combat'!F269&lt;1,INT(10*'Equipment Combat'!F269)&amp;"L",INT('Equipment Combat'!F269)&amp;"B"))&amp;"]",IF('Equipment Combat'!F325&lt;0.1,"",IF('Equipment Combat'!F325&lt;1,INT(10*'Equipment Combat'!F325)&amp;"L",INT('Equipment Combat'!F325)&amp;"B")))</f>
        <v/>
      </c>
      <c r="AC57" s="637"/>
    </row>
    <row r="58" spans="1:29" s="627" customFormat="1" ht="19.5" customHeight="1" x14ac:dyDescent="0.25">
      <c r="A58" s="656"/>
      <c r="B58" s="1332" t="str">
        <f>IF('Equipment Combat'!F17="","",'Equipment Combat'!F17&amp;" ("&amp;'Equipment Combat'!F124&amp;")")</f>
        <v>Scimitar (1d6) (Held)</v>
      </c>
      <c r="C58" s="1333"/>
      <c r="D58" s="1333"/>
      <c r="E58" s="1333"/>
      <c r="F58" s="1335"/>
      <c r="G58" s="716">
        <f>IF('Equipment Combat'!F70="","",'Equipment Combat'!F70)</f>
        <v>1</v>
      </c>
      <c r="H58" s="717" t="str">
        <f>IF('Equipment Combat'!F124="Stowed","["&amp;IF('Equipment Combat'!F231&lt;0.1,"",IF('Equipment Combat'!F231&lt;1,INT(10*'Equipment Combat'!F231)&amp;"L",INT('Equipment Combat'!F231)&amp;"B"))&amp;"]",IF('Equipment Combat'!F287&lt;0.1,"",IF('Equipment Combat'!F287&lt;1,INT(10*'Equipment Combat'!F287)&amp;"L",INT('Equipment Combat'!F287)&amp;"B")))</f>
        <v>1B</v>
      </c>
      <c r="I58" s="1332" t="str">
        <f>IF('Equipment Combat'!F30="","",'Equipment Combat'!F30&amp;" ("&amp;'Equipment Combat'!F137&amp;")")</f>
        <v>Antiplague (Lesser) (Worn)</v>
      </c>
      <c r="J58" s="1333"/>
      <c r="K58" s="1333"/>
      <c r="L58" s="1335"/>
      <c r="M58" s="1333"/>
      <c r="N58" s="716">
        <f>IF('Equipment Combat'!F83="","",'Equipment Combat'!F83)</f>
        <v>1</v>
      </c>
      <c r="O58" s="717" t="str">
        <f>IF('Equipment Combat'!F137="Stowed","["&amp;IF('Equipment Combat'!F244&lt;0.1,"",IF('Equipment Combat'!F244&lt;1,INT(10*'Equipment Combat'!F244)&amp;"L",INT('Equipment Combat'!F244)&amp;"B"))&amp;"]",IF('Equipment Combat'!F300&lt;0.1,"",IF('Equipment Combat'!F300&lt;1,INT(10*'Equipment Combat'!F300)&amp;"L",INT('Equipment Combat'!F300)&amp;"B")))</f>
        <v>1L</v>
      </c>
      <c r="P58" s="1332" t="str">
        <f>IF('Equipment Combat'!F43="","",'Equipment Combat'!F43&amp;" ("&amp;'Equipment Combat'!F150&amp;")")</f>
        <v/>
      </c>
      <c r="Q58" s="1333"/>
      <c r="R58" s="1333"/>
      <c r="S58" s="1335"/>
      <c r="T58" s="1333"/>
      <c r="U58" s="716" t="str">
        <f>IF('Equipment Combat'!F96="","",'Equipment Combat'!F96)</f>
        <v/>
      </c>
      <c r="V58" s="717" t="str">
        <f>IF('Equipment Combat'!F150="Stowed","["&amp;IF('Equipment Combat'!F257&lt;0.1,"",IF('Equipment Combat'!F257&lt;1,INT(10*'Equipment Combat'!F257)&amp;"L",INT('Equipment Combat'!F257)&amp;"B"))&amp;"]",IF('Equipment Combat'!F313&lt;0.1,"",IF('Equipment Combat'!F313&lt;1,INT(10*'Equipment Combat'!F313)&amp;"L",INT('Equipment Combat'!F313)&amp;"B")))</f>
        <v/>
      </c>
      <c r="W58" s="1332" t="str">
        <f>IF('Equipment Combat'!F56="","",'Equipment Combat'!F56&amp;" ("&amp;'Equipment Combat'!F163&amp;")")</f>
        <v/>
      </c>
      <c r="X58" s="1333"/>
      <c r="Y58" s="1335"/>
      <c r="Z58" s="1333"/>
      <c r="AA58" s="716" t="str">
        <f>IF('Equipment Combat'!F109="","",'Equipment Combat'!F109)</f>
        <v/>
      </c>
      <c r="AB58" s="717" t="str">
        <f>IF('Equipment Combat'!F163="Stowed","["&amp;IF('Equipment Combat'!F270&lt;0.1,"",IF('Equipment Combat'!F270&lt;1,INT(10*'Equipment Combat'!F270)&amp;"L",INT('Equipment Combat'!F270)&amp;"B"))&amp;"]",IF('Equipment Combat'!F326&lt;0.1,"",IF('Equipment Combat'!F326&lt;1,INT(10*'Equipment Combat'!F326)&amp;"L",INT('Equipment Combat'!F326)&amp;"B")))</f>
        <v/>
      </c>
      <c r="AC58" s="637"/>
    </row>
    <row r="59" spans="1:29" s="627" customFormat="1" ht="19.5" customHeight="1" x14ac:dyDescent="0.25">
      <c r="A59" s="656"/>
      <c r="B59" s="1332" t="str">
        <f>IF('Equipment Combat'!F18="","",'Equipment Combat'!F18&amp;" ("&amp;'Equipment Combat'!F125&amp;")")</f>
        <v>Emperor Bird Feather (small)/Continual Flame (Stowed)</v>
      </c>
      <c r="C59" s="1333"/>
      <c r="D59" s="1333"/>
      <c r="E59" s="1333"/>
      <c r="F59" s="1335"/>
      <c r="G59" s="716">
        <f>IF('Equipment Combat'!F71="","",'Equipment Combat'!F71)</f>
        <v>1</v>
      </c>
      <c r="H59" s="717" t="str">
        <f>IF('Equipment Combat'!F125="Stowed","["&amp;IF('Equipment Combat'!F232&lt;0.1,"",IF('Equipment Combat'!F232&lt;1,INT(10*'Equipment Combat'!F232)&amp;"L",INT('Equipment Combat'!F232)&amp;"B"))&amp;"]",IF('Equipment Combat'!F288&lt;0.1,"",IF('Equipment Combat'!F288&lt;1,INT(10*'Equipment Combat'!F288)&amp;"L",INT('Equipment Combat'!F288)&amp;"B")))</f>
        <v>[]</v>
      </c>
      <c r="I59" s="1332" t="str">
        <f>IF('Equipment Combat'!F31="","",'Equipment Combat'!F31&amp;" ("&amp;'Equipment Combat'!F138&amp;")")</f>
        <v>Swarmsuit (Worn)</v>
      </c>
      <c r="J59" s="1333"/>
      <c r="K59" s="1333"/>
      <c r="L59" s="1335"/>
      <c r="M59" s="1333"/>
      <c r="N59" s="716">
        <f>IF('Equipment Combat'!F84="","",'Equipment Combat'!F84)</f>
        <v>1</v>
      </c>
      <c r="O59" s="717" t="str">
        <f>IF('Equipment Combat'!F138="Stowed","["&amp;IF('Equipment Combat'!F245&lt;0.1,"",IF('Equipment Combat'!F245&lt;1,INT(10*'Equipment Combat'!F245)&amp;"L",INT('Equipment Combat'!F245)&amp;"B"))&amp;"]",IF('Equipment Combat'!F301&lt;0.1,"",IF('Equipment Combat'!F301&lt;1,INT(10*'Equipment Combat'!F301)&amp;"L",INT('Equipment Combat'!F301)&amp;"B")))</f>
        <v/>
      </c>
      <c r="P59" s="1332" t="str">
        <f>IF('Equipment Combat'!F44="","",'Equipment Combat'!F44&amp;" ("&amp;'Equipment Combat'!F151&amp;")")</f>
        <v/>
      </c>
      <c r="Q59" s="1333"/>
      <c r="R59" s="1333"/>
      <c r="S59" s="1335"/>
      <c r="T59" s="1333"/>
      <c r="U59" s="716" t="str">
        <f>IF('Equipment Combat'!F97="","",'Equipment Combat'!F97)</f>
        <v/>
      </c>
      <c r="V59" s="717" t="str">
        <f>IF('Equipment Combat'!F151="Stowed","["&amp;IF('Equipment Combat'!F258&lt;0.1,"",IF('Equipment Combat'!F258&lt;1,INT(10*'Equipment Combat'!F258)&amp;"L",INT('Equipment Combat'!F258)&amp;"B"))&amp;"]",IF('Equipment Combat'!F314&lt;0.1,"",IF('Equipment Combat'!F314&lt;1,INT(10*'Equipment Combat'!F314)&amp;"L",INT('Equipment Combat'!F314)&amp;"B")))</f>
        <v/>
      </c>
      <c r="W59" s="1332" t="str">
        <f>IF('Equipment Combat'!F57="","",'Equipment Combat'!F57&amp;" ("&amp;'Equipment Combat'!F164&amp;")")</f>
        <v/>
      </c>
      <c r="X59" s="1333"/>
      <c r="Y59" s="1335"/>
      <c r="Z59" s="1333"/>
      <c r="AA59" s="716" t="str">
        <f>IF('Equipment Combat'!F110="","",'Equipment Combat'!F110)</f>
        <v/>
      </c>
      <c r="AB59" s="717" t="str">
        <f>IF('Equipment Combat'!F164="Stowed","["&amp;IF('Equipment Combat'!F271&lt;0.1,"",IF('Equipment Combat'!F271&lt;1,INT(10*'Equipment Combat'!F271)&amp;"L",INT('Equipment Combat'!F271)&amp;"B"))&amp;"]",IF('Equipment Combat'!F327&lt;0.1,"",IF('Equipment Combat'!F327&lt;1,INT(10*'Equipment Combat'!F327)&amp;"L",INT('Equipment Combat'!F327)&amp;"B")))</f>
        <v/>
      </c>
      <c r="AC59" s="637"/>
    </row>
    <row r="60" spans="1:29" s="627" customFormat="1" ht="19.5" customHeight="1" x14ac:dyDescent="0.25">
      <c r="A60" s="656"/>
      <c r="B60" s="1336" t="str">
        <f>IF('Equipment Combat'!F19="","",'Equipment Combat'!F19&amp;" ("&amp;'Equipment Combat'!F126&amp;")")</f>
        <v>Caltrops (Worn)</v>
      </c>
      <c r="C60" s="1337"/>
      <c r="D60" s="1337"/>
      <c r="E60" s="1337"/>
      <c r="F60" s="1338"/>
      <c r="G60" s="915">
        <f>IF('Equipment Combat'!F72="","",'Equipment Combat'!F72)</f>
        <v>2</v>
      </c>
      <c r="H60" s="916" t="str">
        <f>IF('Equipment Combat'!F126="Stowed","["&amp;IF('Equipment Combat'!F233&lt;0.1,"",IF('Equipment Combat'!F233&lt;1,INT(10*'Equipment Combat'!F233)&amp;"L",INT('Equipment Combat'!F233)&amp;"B"))&amp;"]",IF('Equipment Combat'!F289&lt;0.1,"",IF('Equipment Combat'!F289&lt;1,INT(10*'Equipment Combat'!F289)&amp;"L",INT('Equipment Combat'!F289)&amp;"B")))</f>
        <v>2L</v>
      </c>
      <c r="I60" s="1336" t="str">
        <f>IF('Equipment Combat'!F32="","",'Equipment Combat'!F32&amp;" ("&amp;'Equipment Combat'!F139&amp;")")</f>
        <v>+1 Sling (Worn)</v>
      </c>
      <c r="J60" s="1337"/>
      <c r="K60" s="1337"/>
      <c r="L60" s="1338"/>
      <c r="M60" s="1337"/>
      <c r="N60" s="915">
        <f>IF('Equipment Combat'!F85="","",'Equipment Combat'!F85)</f>
        <v>1</v>
      </c>
      <c r="O60" s="916" t="str">
        <f>IF('Equipment Combat'!F139="Stowed","["&amp;IF('Equipment Combat'!F246&lt;0.1,"",IF('Equipment Combat'!F246&lt;1,INT(10*'Equipment Combat'!F246)&amp;"L",INT('Equipment Combat'!F246)&amp;"B"))&amp;"]",IF('Equipment Combat'!F302&lt;0.1,"",IF('Equipment Combat'!F302&lt;1,INT(10*'Equipment Combat'!F302)&amp;"L",INT('Equipment Combat'!F302)&amp;"B")))</f>
        <v>1L</v>
      </c>
      <c r="P60" s="1336" t="str">
        <f>IF('Equipment Combat'!F45="","",'Equipment Combat'!F45&amp;" ("&amp;'Equipment Combat'!F152&amp;")")</f>
        <v/>
      </c>
      <c r="Q60" s="1337"/>
      <c r="R60" s="1337"/>
      <c r="S60" s="1338"/>
      <c r="T60" s="1337"/>
      <c r="U60" s="915" t="str">
        <f>IF('Equipment Combat'!F98="","",'Equipment Combat'!F98)</f>
        <v/>
      </c>
      <c r="V60" s="916" t="str">
        <f>IF('Equipment Combat'!F152="Stowed","["&amp;IF('Equipment Combat'!F259&lt;0.1,"",IF('Equipment Combat'!F259&lt;1,INT(10*'Equipment Combat'!F259)&amp;"L",INT('Equipment Combat'!F259)&amp;"B"))&amp;"]",IF('Equipment Combat'!F315&lt;0.1,"",IF('Equipment Combat'!F315&lt;1,INT(10*'Equipment Combat'!F315)&amp;"L",INT('Equipment Combat'!F315)&amp;"B")))</f>
        <v/>
      </c>
      <c r="W60" s="1336" t="str">
        <f>IF('Equipment Combat'!F58="","",'Equipment Combat'!F58&amp;" ("&amp;'Equipment Combat'!F165&amp;")")</f>
        <v/>
      </c>
      <c r="X60" s="1337"/>
      <c r="Y60" s="1338"/>
      <c r="Z60" s="1337"/>
      <c r="AA60" s="915" t="str">
        <f>IF('Equipment Combat'!F111="","",'Equipment Combat'!F111)</f>
        <v/>
      </c>
      <c r="AB60" s="916" t="str">
        <f>IF('Equipment Combat'!F165="Stowed","["&amp;IF('Equipment Combat'!F272&lt;0.1,"",IF('Equipment Combat'!F272&lt;1,INT(10*'Equipment Combat'!F272)&amp;"L",INT('Equipment Combat'!F272)&amp;"B"))&amp;"]",IF('Equipment Combat'!F328&lt;0.1,"",IF('Equipment Combat'!F328&lt;1,INT(10*'Equipment Combat'!F328)&amp;"L",INT('Equipment Combat'!F328)&amp;"B")))</f>
        <v/>
      </c>
      <c r="AC60" s="637"/>
    </row>
    <row r="61" spans="1:29" s="627" customFormat="1"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s="627" customFormat="1" ht="19.5" customHeight="1" x14ac:dyDescent="0.3">
      <c r="A62" s="656"/>
      <c r="B62" s="718">
        <f>'Equipment Combat'!F3</f>
        <v>0</v>
      </c>
      <c r="C62" s="719">
        <f>'Equipment Combat'!F4</f>
        <v>8</v>
      </c>
      <c r="D62" s="719">
        <f>'Equipment Combat'!F5</f>
        <v>90</v>
      </c>
      <c r="E62" s="720">
        <f>'Equipment Combat'!F6</f>
        <v>6</v>
      </c>
      <c r="F62" s="948"/>
      <c r="G62" s="772">
        <f>'Equipment Combat'!F329</f>
        <v>6</v>
      </c>
      <c r="H62" s="454"/>
      <c r="I62" s="451">
        <f>5+K62</f>
        <v>5</v>
      </c>
      <c r="J62" s="453" t="s">
        <v>512</v>
      </c>
      <c r="K62" s="452">
        <f>'Equipment Combat'!F331</f>
        <v>0</v>
      </c>
      <c r="L62" s="454"/>
      <c r="M62" s="451">
        <f>10+O62</f>
        <v>10</v>
      </c>
      <c r="N62" s="453" t="s">
        <v>513</v>
      </c>
      <c r="O62" s="452">
        <f>K62</f>
        <v>0</v>
      </c>
      <c r="P62" s="454"/>
      <c r="Q62" s="644" t="s">
        <v>505</v>
      </c>
      <c r="R62" s="1544" t="str">
        <f>'Equipment Combat'!F333</f>
        <v>Encumbered</v>
      </c>
      <c r="S62" s="1545"/>
      <c r="T62" s="1545"/>
      <c r="U62" s="1545"/>
      <c r="V62" s="1545"/>
      <c r="W62" s="1546"/>
      <c r="X62" s="1544" t="str">
        <f>'Equipment Combat'!F274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IF(Feats!F5="","",Feats!F5)</f>
        <v>Elven Lore</v>
      </c>
      <c r="C65" s="1411"/>
      <c r="D65" s="1411"/>
      <c r="E65" s="1411"/>
      <c r="F65" s="1411"/>
      <c r="G65" s="1411"/>
      <c r="H65" s="1411"/>
      <c r="I65" s="1411"/>
      <c r="J65" s="1411" t="str">
        <f>IF(Feats!F5="","",Feats!M5)</f>
        <v>Ancestry feat</v>
      </c>
      <c r="K65" s="1411"/>
      <c r="L65" s="1411"/>
      <c r="M65" s="1411"/>
      <c r="N65" s="1412">
        <f>IF(Feats!F5="","",Feats!L5)</f>
        <v>1</v>
      </c>
      <c r="O65" s="1413"/>
      <c r="P65" s="1410" t="str">
        <f>IF(Feats!F29="","",Feats!F29)</f>
        <v>Holy Castigation</v>
      </c>
      <c r="Q65" s="1411"/>
      <c r="R65" s="1411"/>
      <c r="S65" s="1411"/>
      <c r="T65" s="1411"/>
      <c r="U65" s="1411"/>
      <c r="V65" s="1411"/>
      <c r="W65" s="1411"/>
      <c r="X65" s="1411" t="str">
        <f>IF(Feats!F29="","",Feats!M29)</f>
        <v>Class feat</v>
      </c>
      <c r="Y65" s="1411"/>
      <c r="Z65" s="1411"/>
      <c r="AA65" s="1411"/>
      <c r="AB65" s="1412">
        <f>IF(Feats!F29="","",Feats!L29)</f>
        <v>4</v>
      </c>
      <c r="AC65" s="637"/>
    </row>
    <row r="66" spans="1:29" ht="19.5" customHeight="1" x14ac:dyDescent="0.25">
      <c r="A66" s="656"/>
      <c r="B66" s="1414" t="str">
        <f>IF(Feats!F6="","",Feats!F6)</f>
        <v>Low-light vision</v>
      </c>
      <c r="C66" s="1415"/>
      <c r="D66" s="1415"/>
      <c r="E66" s="1415"/>
      <c r="F66" s="1415"/>
      <c r="G66" s="1415"/>
      <c r="H66" s="1415"/>
      <c r="I66" s="1415"/>
      <c r="J66" s="1415" t="str">
        <f>IF(Feats!F6="","",Feats!M6)</f>
        <v>Ancestry vision</v>
      </c>
      <c r="K66" s="1415"/>
      <c r="L66" s="1415"/>
      <c r="M66" s="1415"/>
      <c r="N66" s="1416">
        <f>IF(Feats!F6="","",Feats!L6)</f>
        <v>1</v>
      </c>
      <c r="O66" s="1413"/>
      <c r="P66" s="1414" t="str">
        <f>IF(Feats!F30="","",Feats!F30)</f>
        <v/>
      </c>
      <c r="Q66" s="1415"/>
      <c r="R66" s="1415"/>
      <c r="S66" s="1415"/>
      <c r="T66" s="1415"/>
      <c r="U66" s="1415"/>
      <c r="V66" s="1415"/>
      <c r="W66" s="1415"/>
      <c r="X66" s="1415" t="str">
        <f>IF(Feats!F30="","",Feats!M30)</f>
        <v/>
      </c>
      <c r="Y66" s="1415"/>
      <c r="Z66" s="1415"/>
      <c r="AA66" s="1415"/>
      <c r="AB66" s="1416" t="str">
        <f>IF(Feats!F30="","",Feats!L30)</f>
        <v/>
      </c>
      <c r="AC66" s="637"/>
    </row>
    <row r="67" spans="1:29" ht="19.5" customHeight="1" x14ac:dyDescent="0.25">
      <c r="A67" s="656"/>
      <c r="B67" s="1414" t="str">
        <f>IF(Feats!F7="","",Feats!F7)</f>
        <v>Intimidating Glare</v>
      </c>
      <c r="C67" s="1415"/>
      <c r="D67" s="1415"/>
      <c r="E67" s="1415"/>
      <c r="F67" s="1415"/>
      <c r="G67" s="1415"/>
      <c r="H67" s="1415"/>
      <c r="I67" s="1415"/>
      <c r="J67" s="1415" t="str">
        <f>IF(Feats!F7="","",Feats!M7)</f>
        <v>Background Skill feat</v>
      </c>
      <c r="K67" s="1415"/>
      <c r="L67" s="1415"/>
      <c r="M67" s="1415"/>
      <c r="N67" s="1416">
        <f>IF(Feats!F7="","",Feats!L7)</f>
        <v>1</v>
      </c>
      <c r="O67" s="1413"/>
      <c r="P67" s="1414" t="str">
        <f>IF(Feats!F31="","",Feats!F31)</f>
        <v>3rd level spells</v>
      </c>
      <c r="Q67" s="1415"/>
      <c r="R67" s="1415"/>
      <c r="S67" s="1415"/>
      <c r="T67" s="1415"/>
      <c r="U67" s="1415"/>
      <c r="V67" s="1415"/>
      <c r="W67" s="1415"/>
      <c r="X67" s="1415" t="str">
        <f>IF(Feats!F31="","",Feats!M31)</f>
        <v>Class ability</v>
      </c>
      <c r="Y67" s="1415"/>
      <c r="Z67" s="1415"/>
      <c r="AA67" s="1415"/>
      <c r="AB67" s="1416">
        <f>IF(Feats!F31="","",Feats!L31)</f>
        <v>5</v>
      </c>
      <c r="AC67" s="637"/>
    </row>
    <row r="68" spans="1:29" ht="19.5" customHeight="1" x14ac:dyDescent="0.25">
      <c r="A68" s="656"/>
      <c r="B68" s="1414" t="str">
        <f>IF(Feats!F8="","",Feats!F8)</f>
        <v>Divine font = Healing</v>
      </c>
      <c r="C68" s="1415"/>
      <c r="D68" s="1415"/>
      <c r="E68" s="1415"/>
      <c r="F68" s="1415"/>
      <c r="G68" s="1415"/>
      <c r="H68" s="1415"/>
      <c r="I68" s="1415"/>
      <c r="J68" s="1415" t="str">
        <f>IF(Feats!F8="","",Feats!M8)</f>
        <v>Class details</v>
      </c>
      <c r="K68" s="1415"/>
      <c r="L68" s="1415"/>
      <c r="M68" s="1415"/>
      <c r="N68" s="1416">
        <f>IF(Feats!F8="","",Feats!L8)</f>
        <v>1</v>
      </c>
      <c r="O68" s="1413"/>
      <c r="P68" s="1414" t="str">
        <f>IF(Feats!F32="","",Feats!F32)</f>
        <v>Alertness (Expert PER)</v>
      </c>
      <c r="Q68" s="1415"/>
      <c r="R68" s="1415"/>
      <c r="S68" s="1415"/>
      <c r="T68" s="1415"/>
      <c r="U68" s="1415"/>
      <c r="V68" s="1415"/>
      <c r="W68" s="1415"/>
      <c r="X68" s="1415" t="str">
        <f>IF(Feats!F32="","",Feats!M32)</f>
        <v>Class ability</v>
      </c>
      <c r="Y68" s="1415"/>
      <c r="Z68" s="1415"/>
      <c r="AA68" s="1415"/>
      <c r="AB68" s="1416">
        <f>IF(Feats!F32="","",Feats!L32)</f>
        <v>5</v>
      </c>
      <c r="AC68" s="637"/>
    </row>
    <row r="69" spans="1:29" ht="19.5" customHeight="1" x14ac:dyDescent="0.25">
      <c r="A69" s="656"/>
      <c r="B69" s="1414" t="str">
        <f>IF(Feats!F9="","",Feats!F9)</f>
        <v>Doctrine = Cloistered Cleric</v>
      </c>
      <c r="C69" s="1415"/>
      <c r="D69" s="1415"/>
      <c r="E69" s="1415"/>
      <c r="F69" s="1415"/>
      <c r="G69" s="1415"/>
      <c r="H69" s="1415"/>
      <c r="I69" s="1415"/>
      <c r="J69" s="1415" t="str">
        <f>IF(Feats!F9="","",Feats!M9)</f>
        <v>Class details</v>
      </c>
      <c r="K69" s="1415"/>
      <c r="L69" s="1415"/>
      <c r="M69" s="1415"/>
      <c r="N69" s="1416">
        <f>IF(Feats!F9="","",Feats!L9)</f>
        <v>1</v>
      </c>
      <c r="O69" s="1413"/>
      <c r="P69" s="1414" t="str">
        <f>IF(Feats!F33="","",Feats!F33)</f>
        <v>Ancestral Longevity</v>
      </c>
      <c r="Q69" s="1415"/>
      <c r="R69" s="1415"/>
      <c r="S69" s="1415"/>
      <c r="T69" s="1415"/>
      <c r="U69" s="1415"/>
      <c r="V69" s="1415"/>
      <c r="W69" s="1415"/>
      <c r="X69" s="1415" t="str">
        <f>IF(Feats!F33="","",Feats!M33)</f>
        <v>Ancestry feat</v>
      </c>
      <c r="Y69" s="1415"/>
      <c r="Z69" s="1415"/>
      <c r="AA69" s="1415"/>
      <c r="AB69" s="1416">
        <f>IF(Feats!F33="","",Feats!L33)</f>
        <v>5</v>
      </c>
      <c r="AC69" s="637"/>
    </row>
    <row r="70" spans="1:29" ht="19.5" customHeight="1" x14ac:dyDescent="0.25">
      <c r="A70" s="656"/>
      <c r="B70" s="1414" t="str">
        <f>IF(Feats!F10="","",Feats!F10)</f>
        <v/>
      </c>
      <c r="C70" s="1415"/>
      <c r="D70" s="1415"/>
      <c r="E70" s="1415"/>
      <c r="F70" s="1415"/>
      <c r="G70" s="1415"/>
      <c r="H70" s="1415"/>
      <c r="I70" s="1415"/>
      <c r="J70" s="1415" t="str">
        <f>IF(Feats!F10="","",Feats!M10)</f>
        <v/>
      </c>
      <c r="K70" s="1415"/>
      <c r="L70" s="1415"/>
      <c r="M70" s="1415"/>
      <c r="N70" s="1416" t="str">
        <f>IF(Feats!F10="","",Feats!L10)</f>
        <v/>
      </c>
      <c r="O70" s="1413"/>
      <c r="P70" s="1414" t="str">
        <f>IF(Feats!F34="","",Feats!F34)</f>
        <v>Expert in Diplomacy</v>
      </c>
      <c r="Q70" s="1415"/>
      <c r="R70" s="1415"/>
      <c r="S70" s="1415"/>
      <c r="T70" s="1415"/>
      <c r="U70" s="1415"/>
      <c r="V70" s="1415"/>
      <c r="W70" s="1415"/>
      <c r="X70" s="1415" t="str">
        <f>IF(Feats!F34="","",Feats!M34)</f>
        <v>Skill increase</v>
      </c>
      <c r="Y70" s="1415"/>
      <c r="Z70" s="1415"/>
      <c r="AA70" s="1415"/>
      <c r="AB70" s="1416">
        <f>IF(Feats!F34="","",Feats!L34)</f>
        <v>5</v>
      </c>
      <c r="AC70" s="637"/>
    </row>
    <row r="71" spans="1:29" ht="19.5" hidden="1" customHeight="1" outlineLevel="1" x14ac:dyDescent="0.25">
      <c r="A71" s="656"/>
      <c r="B71" s="1414" t="str">
        <f>IF(Feats!F11="","",Feats!F11)</f>
        <v/>
      </c>
      <c r="C71" s="1415"/>
      <c r="D71" s="1415"/>
      <c r="E71" s="1415"/>
      <c r="F71" s="1415"/>
      <c r="G71" s="1415"/>
      <c r="H71" s="1415"/>
      <c r="I71" s="1415"/>
      <c r="J71" s="1415" t="str">
        <f>IF(Feats!F11="","",Feats!M11)</f>
        <v/>
      </c>
      <c r="K71" s="1415"/>
      <c r="L71" s="1415"/>
      <c r="M71" s="1415"/>
      <c r="N71" s="1416" t="str">
        <f>IF(Feats!F11="","",Feats!L11)</f>
        <v/>
      </c>
      <c r="O71" s="1413"/>
      <c r="P71" s="1414" t="str">
        <f>IF(Feats!F35="","",Feats!F35)</f>
        <v/>
      </c>
      <c r="Q71" s="1415"/>
      <c r="R71" s="1415"/>
      <c r="S71" s="1415"/>
      <c r="T71" s="1415"/>
      <c r="U71" s="1415"/>
      <c r="V71" s="1415"/>
      <c r="W71" s="1415"/>
      <c r="X71" s="1415" t="str">
        <f>IF(Feats!F35="","",Feats!M35)</f>
        <v/>
      </c>
      <c r="Y71" s="1415"/>
      <c r="Z71" s="1415"/>
      <c r="AA71" s="1415"/>
      <c r="AB71" s="1416" t="str">
        <f>IF(Feats!F35="","",Feats!L35)</f>
        <v/>
      </c>
      <c r="AC71" s="637"/>
    </row>
    <row r="72" spans="1:29" ht="19.5" hidden="1" customHeight="1" outlineLevel="1" x14ac:dyDescent="0.25">
      <c r="A72" s="656"/>
      <c r="B72" s="1414" t="str">
        <f>IF(Feats!F12="","",Feats!F12)</f>
        <v/>
      </c>
      <c r="C72" s="1415"/>
      <c r="D72" s="1415"/>
      <c r="E72" s="1415"/>
      <c r="F72" s="1415"/>
      <c r="G72" s="1415"/>
      <c r="H72" s="1415"/>
      <c r="I72" s="1415"/>
      <c r="J72" s="1415" t="str">
        <f>IF(Feats!F12="","",Feats!M12)</f>
        <v/>
      </c>
      <c r="K72" s="1415"/>
      <c r="L72" s="1415"/>
      <c r="M72" s="1415"/>
      <c r="N72" s="1416" t="str">
        <f>IF(Feats!F12="","",Feats!L12)</f>
        <v/>
      </c>
      <c r="O72" s="1413"/>
      <c r="P72" s="1414" t="str">
        <f>IF(Feats!F36="","",Feats!F36)</f>
        <v/>
      </c>
      <c r="Q72" s="1415"/>
      <c r="R72" s="1415"/>
      <c r="S72" s="1415"/>
      <c r="T72" s="1415"/>
      <c r="U72" s="1415"/>
      <c r="V72" s="1415"/>
      <c r="W72" s="1415"/>
      <c r="X72" s="1415" t="str">
        <f>IF(Feats!F36="","",Feats!M36)</f>
        <v/>
      </c>
      <c r="Y72" s="1415"/>
      <c r="Z72" s="1415"/>
      <c r="AA72" s="1415"/>
      <c r="AB72" s="1416" t="str">
        <f>IF(Feats!F36="","",Feats!L36)</f>
        <v/>
      </c>
      <c r="AC72" s="637"/>
    </row>
    <row r="73" spans="1:29" ht="19.5" hidden="1" customHeight="1" outlineLevel="1" x14ac:dyDescent="0.25">
      <c r="A73" s="656"/>
      <c r="B73" s="1414" t="str">
        <f>IF(Feats!F13="","",Feats!F13)</f>
        <v/>
      </c>
      <c r="C73" s="1415"/>
      <c r="D73" s="1415"/>
      <c r="E73" s="1415"/>
      <c r="F73" s="1415"/>
      <c r="G73" s="1415"/>
      <c r="H73" s="1415"/>
      <c r="I73" s="1415"/>
      <c r="J73" s="1415" t="str">
        <f>IF(Feats!F13="","",Feats!M13)</f>
        <v/>
      </c>
      <c r="K73" s="1415"/>
      <c r="L73" s="1415"/>
      <c r="M73" s="1415"/>
      <c r="N73" s="1416" t="str">
        <f>IF(Feats!F13="","",Feats!L13)</f>
        <v/>
      </c>
      <c r="O73" s="1413"/>
      <c r="P73" s="1414" t="str">
        <f>IF(Feats!F37="","",Feats!F37)</f>
        <v/>
      </c>
      <c r="Q73" s="1415"/>
      <c r="R73" s="1415"/>
      <c r="S73" s="1415"/>
      <c r="T73" s="1415"/>
      <c r="U73" s="1415"/>
      <c r="V73" s="1415"/>
      <c r="W73" s="1415"/>
      <c r="X73" s="1415" t="str">
        <f>IF(Feats!F37="","",Feats!M37)</f>
        <v/>
      </c>
      <c r="Y73" s="1415"/>
      <c r="Z73" s="1415"/>
      <c r="AA73" s="1415"/>
      <c r="AB73" s="1416" t="str">
        <f>IF(Feats!F37="","",Feats!L37)</f>
        <v/>
      </c>
      <c r="AC73" s="637"/>
    </row>
    <row r="74" spans="1:29" ht="19.5" customHeight="1" collapsed="1" x14ac:dyDescent="0.25">
      <c r="A74" s="656"/>
      <c r="B74" s="1414" t="str">
        <f>IF(Feats!F14="","",Feats!F14)</f>
        <v>Divine prepared spellcasting</v>
      </c>
      <c r="C74" s="1415"/>
      <c r="D74" s="1415"/>
      <c r="E74" s="1415"/>
      <c r="F74" s="1415"/>
      <c r="G74" s="1415"/>
      <c r="H74" s="1415"/>
      <c r="I74" s="1415"/>
      <c r="J74" s="1415" t="str">
        <f>IF(Feats!F14="","",Feats!M14)</f>
        <v>Class ability</v>
      </c>
      <c r="K74" s="1415"/>
      <c r="L74" s="1415"/>
      <c r="M74" s="1415"/>
      <c r="N74" s="1416">
        <f>IF(Feats!F14="","",Feats!L14)</f>
        <v>1</v>
      </c>
      <c r="O74" s="1413"/>
      <c r="P74" s="1414" t="str">
        <f>IF(Feats!F38="","",Feats!F38)</f>
        <v/>
      </c>
      <c r="Q74" s="1415"/>
      <c r="R74" s="1415"/>
      <c r="S74" s="1415"/>
      <c r="T74" s="1415"/>
      <c r="U74" s="1415"/>
      <c r="V74" s="1415"/>
      <c r="W74" s="1415"/>
      <c r="X74" s="1415" t="str">
        <f>IF(Feats!F38="","",Feats!M38)</f>
        <v/>
      </c>
      <c r="Y74" s="1415"/>
      <c r="Z74" s="1415"/>
      <c r="AA74" s="1415"/>
      <c r="AB74" s="1416" t="str">
        <f>IF(Feats!F38="","",Feats!L38)</f>
        <v/>
      </c>
      <c r="AC74" s="637"/>
    </row>
    <row r="75" spans="1:29" ht="19.5" customHeight="1" x14ac:dyDescent="0.25">
      <c r="A75" s="656"/>
      <c r="B75" s="1414" t="str">
        <f>IF(Feats!F15="","",Feats!F15)</f>
        <v>Doctrine = Domain Initiate (Healing)</v>
      </c>
      <c r="C75" s="1415"/>
      <c r="D75" s="1415"/>
      <c r="E75" s="1415"/>
      <c r="F75" s="1415"/>
      <c r="G75" s="1415"/>
      <c r="H75" s="1415"/>
      <c r="I75" s="1415"/>
      <c r="J75" s="1415" t="str">
        <f>IF(Feats!F15="","",Feats!M15)</f>
        <v>Starting feat</v>
      </c>
      <c r="K75" s="1415"/>
      <c r="L75" s="1415"/>
      <c r="M75" s="1415"/>
      <c r="N75" s="1416">
        <f>IF(Feats!F15="","",Feats!L15)</f>
        <v>1</v>
      </c>
      <c r="O75" s="1413"/>
      <c r="P75" s="1414" t="str">
        <f>IF(Feats!F39="","",Feats!F39)</f>
        <v/>
      </c>
      <c r="Q75" s="1415"/>
      <c r="R75" s="1415"/>
      <c r="S75" s="1415"/>
      <c r="T75" s="1415"/>
      <c r="U75" s="1415"/>
      <c r="V75" s="1415"/>
      <c r="W75" s="1415"/>
      <c r="X75" s="1415" t="str">
        <f>IF(Feats!F39="","",Feats!M39)</f>
        <v/>
      </c>
      <c r="Y75" s="1415"/>
      <c r="Z75" s="1415"/>
      <c r="AA75" s="1415"/>
      <c r="AB75" s="1416" t="str">
        <f>IF(Feats!F39="","",Feats!L39)</f>
        <v/>
      </c>
      <c r="AC75" s="637"/>
    </row>
    <row r="76" spans="1:29" ht="19.5" hidden="1" customHeight="1" outlineLevel="1" x14ac:dyDescent="0.25">
      <c r="A76" s="656"/>
      <c r="B76" s="1414" t="str">
        <f>IF(Feats!F16="","",Feats!F16)</f>
        <v/>
      </c>
      <c r="C76" s="1415"/>
      <c r="D76" s="1415"/>
      <c r="E76" s="1415"/>
      <c r="F76" s="1415"/>
      <c r="G76" s="1415"/>
      <c r="H76" s="1415"/>
      <c r="I76" s="1415"/>
      <c r="J76" s="1415" t="str">
        <f>IF(Feats!F16="","",Feats!M16)</f>
        <v/>
      </c>
      <c r="K76" s="1415"/>
      <c r="L76" s="1415"/>
      <c r="M76" s="1415"/>
      <c r="N76" s="1416" t="str">
        <f>IF(Feats!F16="","",Feats!L16)</f>
        <v/>
      </c>
      <c r="O76" s="1413"/>
      <c r="P76" s="1414" t="str">
        <f>IF(Feats!F40="","",Feats!F40)</f>
        <v/>
      </c>
      <c r="Q76" s="1415"/>
      <c r="R76" s="1415"/>
      <c r="S76" s="1415"/>
      <c r="T76" s="1415"/>
      <c r="U76" s="1415"/>
      <c r="V76" s="1415"/>
      <c r="W76" s="1415"/>
      <c r="X76" s="1415" t="str">
        <f>IF(Feats!F40="","",Feats!M40)</f>
        <v/>
      </c>
      <c r="Y76" s="1415"/>
      <c r="Z76" s="1415"/>
      <c r="AA76" s="1415"/>
      <c r="AB76" s="1416" t="str">
        <f>IF(Feats!F40="","",Feats!L40)</f>
        <v/>
      </c>
      <c r="AC76" s="637"/>
    </row>
    <row r="77" spans="1:29" ht="19.5" hidden="1" customHeight="1" outlineLevel="1" x14ac:dyDescent="0.25">
      <c r="A77" s="656"/>
      <c r="B77" s="1414" t="str">
        <f>IF(Feats!F17="","",Feats!F17)</f>
        <v/>
      </c>
      <c r="C77" s="1415"/>
      <c r="D77" s="1415"/>
      <c r="E77" s="1415"/>
      <c r="F77" s="1415"/>
      <c r="G77" s="1415"/>
      <c r="H77" s="1415"/>
      <c r="I77" s="1415"/>
      <c r="J77" s="1415" t="str">
        <f>IF(Feats!F17="","",Feats!M17)</f>
        <v/>
      </c>
      <c r="K77" s="1415"/>
      <c r="L77" s="1415"/>
      <c r="M77" s="1415"/>
      <c r="N77" s="1416" t="str">
        <f>IF(Feats!F17="","",Feats!L17)</f>
        <v/>
      </c>
      <c r="O77" s="1413"/>
      <c r="P77" s="1414" t="str">
        <f>IF(Feats!F41="","",Feats!F41)</f>
        <v/>
      </c>
      <c r="Q77" s="1415"/>
      <c r="R77" s="1415"/>
      <c r="S77" s="1415"/>
      <c r="T77" s="1415"/>
      <c r="U77" s="1415"/>
      <c r="V77" s="1415"/>
      <c r="W77" s="1415"/>
      <c r="X77" s="1415" t="str">
        <f>IF(Feats!F41="","",Feats!M41)</f>
        <v/>
      </c>
      <c r="Y77" s="1415"/>
      <c r="Z77" s="1415"/>
      <c r="AA77" s="1415"/>
      <c r="AB77" s="1416" t="str">
        <f>IF(Feats!F41="","",Feats!L41)</f>
        <v/>
      </c>
      <c r="AC77" s="637"/>
    </row>
    <row r="78" spans="1:29" ht="19.5" customHeight="1" collapsed="1" x14ac:dyDescent="0.25">
      <c r="A78" s="656"/>
      <c r="B78" s="1414" t="str">
        <f>IF(Feats!F18="","",Feats!F18)</f>
        <v>Battle Medic (T Medicine)</v>
      </c>
      <c r="C78" s="1415"/>
      <c r="D78" s="1415"/>
      <c r="E78" s="1415"/>
      <c r="F78" s="1415"/>
      <c r="G78" s="1415"/>
      <c r="H78" s="1415"/>
      <c r="I78" s="1415"/>
      <c r="J78" s="1415" t="str">
        <f>IF(Feats!F18="","",Feats!M18)</f>
        <v>Skill feat</v>
      </c>
      <c r="K78" s="1415"/>
      <c r="L78" s="1415"/>
      <c r="M78" s="1415"/>
      <c r="N78" s="1416">
        <f>IF(Feats!F18="","",Feats!L18)</f>
        <v>2</v>
      </c>
      <c r="O78" s="1413"/>
      <c r="P78" s="1414" t="str">
        <f>IF(Feats!F42="","",Feats!F42)</f>
        <v/>
      </c>
      <c r="Q78" s="1415"/>
      <c r="R78" s="1415"/>
      <c r="S78" s="1415"/>
      <c r="T78" s="1415"/>
      <c r="U78" s="1415"/>
      <c r="V78" s="1415"/>
      <c r="W78" s="1415"/>
      <c r="X78" s="1415" t="str">
        <f>IF(Feats!F42="","",Feats!M42)</f>
        <v/>
      </c>
      <c r="Y78" s="1415"/>
      <c r="Z78" s="1415"/>
      <c r="AA78" s="1415"/>
      <c r="AB78" s="1416" t="str">
        <f>IF(Feats!F42="","",Feats!L42)</f>
        <v/>
      </c>
      <c r="AC78" s="637"/>
    </row>
    <row r="79" spans="1:29" ht="19.5" customHeight="1" x14ac:dyDescent="0.25">
      <c r="A79" s="656"/>
      <c r="B79" s="1414" t="str">
        <f>IF(Feats!F19="","",Feats!F19)</f>
        <v>Turn Undead</v>
      </c>
      <c r="C79" s="1415"/>
      <c r="D79" s="1415"/>
      <c r="E79" s="1415"/>
      <c r="F79" s="1415"/>
      <c r="G79" s="1415"/>
      <c r="H79" s="1415"/>
      <c r="I79" s="1415"/>
      <c r="J79" s="1415" t="str">
        <f>IF(Feats!F19="","",Feats!M19)</f>
        <v>Class feat</v>
      </c>
      <c r="K79" s="1415"/>
      <c r="L79" s="1415"/>
      <c r="M79" s="1415"/>
      <c r="N79" s="1416">
        <f>IF(Feats!F19="","",Feats!L19)</f>
        <v>2</v>
      </c>
      <c r="O79" s="1413"/>
      <c r="P79" s="1414" t="str">
        <f>IF(Feats!F43="","",Feats!F43)</f>
        <v/>
      </c>
      <c r="Q79" s="1415"/>
      <c r="R79" s="1415"/>
      <c r="S79" s="1415"/>
      <c r="T79" s="1415"/>
      <c r="U79" s="1415"/>
      <c r="V79" s="1415"/>
      <c r="W79" s="1415"/>
      <c r="X79" s="1415" t="str">
        <f>IF(Feats!F43="","",Feats!M43)</f>
        <v/>
      </c>
      <c r="Y79" s="1415"/>
      <c r="Z79" s="1415"/>
      <c r="AA79" s="1415"/>
      <c r="AB79" s="1416" t="str">
        <f>IF(Feats!F43="","",Feats!L43)</f>
        <v/>
      </c>
      <c r="AC79" s="637"/>
    </row>
    <row r="80" spans="1:29" ht="19.5" hidden="1" customHeight="1" outlineLevel="1" x14ac:dyDescent="0.25">
      <c r="A80" s="656"/>
      <c r="B80" s="1414" t="str">
        <f>IF(Feats!F20="","",Feats!F20)</f>
        <v/>
      </c>
      <c r="C80" s="1415"/>
      <c r="D80" s="1415"/>
      <c r="E80" s="1415"/>
      <c r="F80" s="1415"/>
      <c r="G80" s="1415"/>
      <c r="H80" s="1415"/>
      <c r="I80" s="1415"/>
      <c r="J80" s="1415" t="str">
        <f>IF(Feats!F20="","",Feats!M20)</f>
        <v/>
      </c>
      <c r="K80" s="1415"/>
      <c r="L80" s="1415"/>
      <c r="M80" s="1415"/>
      <c r="N80" s="1416" t="str">
        <f>IF(Feats!F20="","",Feats!L20)</f>
        <v/>
      </c>
      <c r="O80" s="1413"/>
      <c r="P80" s="1414" t="str">
        <f>IF(Feats!F44="","",Feats!F44)</f>
        <v/>
      </c>
      <c r="Q80" s="1415"/>
      <c r="R80" s="1415"/>
      <c r="S80" s="1415"/>
      <c r="T80" s="1415"/>
      <c r="U80" s="1415"/>
      <c r="V80" s="1415"/>
      <c r="W80" s="1415"/>
      <c r="X80" s="1415" t="str">
        <f>IF(Feats!F44="","",Feats!M44)</f>
        <v/>
      </c>
      <c r="Y80" s="1415"/>
      <c r="Z80" s="1415"/>
      <c r="AA80" s="1415"/>
      <c r="AB80" s="1416" t="str">
        <f>IF(Feats!F44="","",Feats!L44)</f>
        <v/>
      </c>
      <c r="AC80" s="637"/>
    </row>
    <row r="81" spans="1:29" ht="19.5" hidden="1" customHeight="1" outlineLevel="1" x14ac:dyDescent="0.25">
      <c r="A81" s="656"/>
      <c r="B81" s="1414" t="str">
        <f>IF(Feats!F21="","",Feats!F21)</f>
        <v/>
      </c>
      <c r="C81" s="1415"/>
      <c r="D81" s="1415"/>
      <c r="E81" s="1415"/>
      <c r="F81" s="1415"/>
      <c r="G81" s="1415"/>
      <c r="H81" s="1415"/>
      <c r="I81" s="1415"/>
      <c r="J81" s="1415" t="str">
        <f>IF(Feats!F21="","",Feats!M21)</f>
        <v/>
      </c>
      <c r="K81" s="1415"/>
      <c r="L81" s="1415"/>
      <c r="M81" s="1415"/>
      <c r="N81" s="1416" t="str">
        <f>IF(Feats!F21="","",Feats!L21)</f>
        <v/>
      </c>
      <c r="O81" s="1413"/>
      <c r="P81" s="1414" t="str">
        <f>IF(Feats!F45="","",Feats!F45)</f>
        <v/>
      </c>
      <c r="Q81" s="1415"/>
      <c r="R81" s="1415"/>
      <c r="S81" s="1415"/>
      <c r="T81" s="1415"/>
      <c r="U81" s="1415"/>
      <c r="V81" s="1415"/>
      <c r="W81" s="1415"/>
      <c r="X81" s="1415" t="str">
        <f>IF(Feats!F45="","",Feats!M45)</f>
        <v/>
      </c>
      <c r="Y81" s="1415"/>
      <c r="Z81" s="1415"/>
      <c r="AA81" s="1415"/>
      <c r="AB81" s="1416" t="str">
        <f>IF(Feats!F45="","",Feats!L45)</f>
        <v/>
      </c>
      <c r="AC81" s="637"/>
    </row>
    <row r="82" spans="1:29" ht="19.5" customHeight="1" collapsed="1" x14ac:dyDescent="0.25">
      <c r="A82" s="656"/>
      <c r="B82" s="1414" t="str">
        <f>IF(Feats!F22="","",Feats!F22)</f>
        <v>Second Doctrine (Expert FOR)</v>
      </c>
      <c r="C82" s="1415"/>
      <c r="D82" s="1415"/>
      <c r="E82" s="1415"/>
      <c r="F82" s="1415"/>
      <c r="G82" s="1415"/>
      <c r="H82" s="1415"/>
      <c r="I82" s="1415"/>
      <c r="J82" s="1415" t="str">
        <f>IF(Feats!F22="","",Feats!M22)</f>
        <v>Class ability</v>
      </c>
      <c r="K82" s="1415"/>
      <c r="L82" s="1415"/>
      <c r="M82" s="1415"/>
      <c r="N82" s="1416">
        <f>IF(Feats!F22="","",Feats!L22)</f>
        <v>3</v>
      </c>
      <c r="O82" s="1413"/>
      <c r="P82" s="1414" t="str">
        <f>IF(Feats!F46="","",Feats!F46)</f>
        <v/>
      </c>
      <c r="Q82" s="1415"/>
      <c r="R82" s="1415"/>
      <c r="S82" s="1415"/>
      <c r="T82" s="1415"/>
      <c r="U82" s="1415"/>
      <c r="V82" s="1415"/>
      <c r="W82" s="1415"/>
      <c r="X82" s="1415" t="str">
        <f>IF(Feats!F46="","",Feats!M46)</f>
        <v/>
      </c>
      <c r="Y82" s="1415"/>
      <c r="Z82" s="1415"/>
      <c r="AA82" s="1415"/>
      <c r="AB82" s="1416" t="str">
        <f>IF(Feats!F46="","",Feats!L46)</f>
        <v/>
      </c>
      <c r="AC82" s="637"/>
    </row>
    <row r="83" spans="1:29" ht="19.5" hidden="1" customHeight="1" outlineLevel="1" x14ac:dyDescent="0.25">
      <c r="A83" s="656"/>
      <c r="B83" s="1414" t="str">
        <f>IF(Feats!F23="","",Feats!F23)</f>
        <v/>
      </c>
      <c r="C83" s="1415"/>
      <c r="D83" s="1415"/>
      <c r="E83" s="1415"/>
      <c r="F83" s="1415"/>
      <c r="G83" s="1415"/>
      <c r="H83" s="1415"/>
      <c r="I83" s="1415"/>
      <c r="J83" s="1415" t="str">
        <f>IF(Feats!F23="","",Feats!M23)</f>
        <v/>
      </c>
      <c r="K83" s="1415"/>
      <c r="L83" s="1415"/>
      <c r="M83" s="1415"/>
      <c r="N83" s="1416" t="str">
        <f>IF(Feats!F23="","",Feats!L23)</f>
        <v/>
      </c>
      <c r="O83" s="1413"/>
      <c r="P83" s="1414" t="str">
        <f>IF(Feats!F47="","",Feats!F47)</f>
        <v/>
      </c>
      <c r="Q83" s="1415"/>
      <c r="R83" s="1415"/>
      <c r="S83" s="1415"/>
      <c r="T83" s="1415"/>
      <c r="U83" s="1415"/>
      <c r="V83" s="1415"/>
      <c r="W83" s="1415"/>
      <c r="X83" s="1415" t="str">
        <f>IF(Feats!F47="","",Feats!M47)</f>
        <v/>
      </c>
      <c r="Y83" s="1415"/>
      <c r="Z83" s="1415"/>
      <c r="AA83" s="1415"/>
      <c r="AB83" s="1416" t="str">
        <f>IF(Feats!F47="","",Feats!L47)</f>
        <v/>
      </c>
      <c r="AC83" s="637"/>
    </row>
    <row r="84" spans="1:29" ht="19.5" customHeight="1" collapsed="1" x14ac:dyDescent="0.25">
      <c r="A84" s="656"/>
      <c r="B84" s="1414" t="str">
        <f>IF(Feats!F24="","",Feats!F24)</f>
        <v>2nd level spells</v>
      </c>
      <c r="C84" s="1415"/>
      <c r="D84" s="1415"/>
      <c r="E84" s="1415"/>
      <c r="F84" s="1415"/>
      <c r="G84" s="1415"/>
      <c r="H84" s="1415"/>
      <c r="I84" s="1415"/>
      <c r="J84" s="1415" t="str">
        <f>IF(Feats!F24="","",Feats!M24)</f>
        <v>Class ability</v>
      </c>
      <c r="K84" s="1415"/>
      <c r="L84" s="1415"/>
      <c r="M84" s="1415"/>
      <c r="N84" s="1416">
        <f>IF(Feats!F24="","",Feats!L24)</f>
        <v>3</v>
      </c>
      <c r="O84" s="1413"/>
      <c r="P84" s="1414" t="str">
        <f>IF(Feats!F48="","",Feats!F48)</f>
        <v/>
      </c>
      <c r="Q84" s="1415"/>
      <c r="R84" s="1415"/>
      <c r="S84" s="1415"/>
      <c r="T84" s="1415"/>
      <c r="U84" s="1415"/>
      <c r="V84" s="1415"/>
      <c r="W84" s="1415"/>
      <c r="X84" s="1415" t="str">
        <f>IF(Feats!F48="","",Feats!M48)</f>
        <v/>
      </c>
      <c r="Y84" s="1415"/>
      <c r="Z84" s="1415"/>
      <c r="AA84" s="1415"/>
      <c r="AB84" s="1416" t="str">
        <f>IF(Feats!F48="","",Feats!L48)</f>
        <v/>
      </c>
      <c r="AC84" s="637"/>
    </row>
    <row r="85" spans="1:29" ht="19.5" customHeight="1" x14ac:dyDescent="0.25">
      <c r="A85" s="656"/>
      <c r="B85" s="1414" t="str">
        <f>IF(Feats!F25="","",Feats!F25)</f>
        <v>Robust Recovery (E Medicine)</v>
      </c>
      <c r="C85" s="1415"/>
      <c r="D85" s="1415"/>
      <c r="E85" s="1415"/>
      <c r="F85" s="1415"/>
      <c r="G85" s="1415"/>
      <c r="H85" s="1415"/>
      <c r="I85" s="1415"/>
      <c r="J85" s="1415" t="str">
        <f>IF(Feats!F25="","",Feats!M25)</f>
        <v>General feat</v>
      </c>
      <c r="K85" s="1415"/>
      <c r="L85" s="1415"/>
      <c r="M85" s="1415"/>
      <c r="N85" s="1416">
        <f>IF(Feats!F25="","",Feats!L25)</f>
        <v>3</v>
      </c>
      <c r="O85" s="1413"/>
      <c r="P85" s="1414" t="str">
        <f>IF(Feats!F49="","",Feats!F49)</f>
        <v/>
      </c>
      <c r="Q85" s="1415"/>
      <c r="R85" s="1415"/>
      <c r="S85" s="1415"/>
      <c r="T85" s="1415"/>
      <c r="U85" s="1415"/>
      <c r="V85" s="1415"/>
      <c r="W85" s="1415"/>
      <c r="X85" s="1415" t="str">
        <f>IF(Feats!F49="","",Feats!M49)</f>
        <v/>
      </c>
      <c r="Y85" s="1415"/>
      <c r="Z85" s="1415"/>
      <c r="AA85" s="1415"/>
      <c r="AB85" s="1416" t="str">
        <f>IF(Feats!F49="","",Feats!L49)</f>
        <v/>
      </c>
      <c r="AC85" s="637"/>
    </row>
    <row r="86" spans="1:29" ht="19.5" customHeight="1" x14ac:dyDescent="0.25">
      <c r="A86" s="656"/>
      <c r="B86" s="1414" t="str">
        <f>IF(Feats!F26="","",Feats!F26)</f>
        <v>Expert in Medicine</v>
      </c>
      <c r="C86" s="1415"/>
      <c r="D86" s="1415"/>
      <c r="E86" s="1415"/>
      <c r="F86" s="1415"/>
      <c r="G86" s="1415"/>
      <c r="H86" s="1415"/>
      <c r="I86" s="1415"/>
      <c r="J86" s="1415" t="str">
        <f>IF(Feats!F26="","",Feats!M26)</f>
        <v>Skill increase</v>
      </c>
      <c r="K86" s="1415"/>
      <c r="L86" s="1415"/>
      <c r="M86" s="1415"/>
      <c r="N86" s="1416">
        <f>IF(Feats!F26="","",Feats!L26)</f>
        <v>3</v>
      </c>
      <c r="O86" s="1413"/>
      <c r="P86" s="1414" t="str">
        <f>IF(Feats!F50="","",Feats!F50)</f>
        <v/>
      </c>
      <c r="Q86" s="1415"/>
      <c r="R86" s="1415"/>
      <c r="S86" s="1415"/>
      <c r="T86" s="1415"/>
      <c r="U86" s="1415"/>
      <c r="V86" s="1415"/>
      <c r="W86" s="1415"/>
      <c r="X86" s="1415" t="str">
        <f>IF(Feats!F50="","",Feats!M50)</f>
        <v/>
      </c>
      <c r="Y86" s="1415"/>
      <c r="Z86" s="1415"/>
      <c r="AA86" s="1415"/>
      <c r="AB86" s="1416" t="str">
        <f>IF(Feats!F50="","",Feats!L50)</f>
        <v/>
      </c>
      <c r="AC86" s="637"/>
    </row>
    <row r="87" spans="1:29" ht="19.5" hidden="1" customHeight="1" outlineLevel="1" x14ac:dyDescent="0.25">
      <c r="A87" s="656"/>
      <c r="B87" s="1414" t="str">
        <f>IF(Feats!F27="","",Feats!F27)</f>
        <v/>
      </c>
      <c r="C87" s="1415"/>
      <c r="D87" s="1415"/>
      <c r="E87" s="1415"/>
      <c r="F87" s="1415"/>
      <c r="G87" s="1415"/>
      <c r="H87" s="1415"/>
      <c r="I87" s="1415"/>
      <c r="J87" s="1415" t="str">
        <f>IF(Feats!F27="","",Feats!M27)</f>
        <v/>
      </c>
      <c r="K87" s="1415"/>
      <c r="L87" s="1415"/>
      <c r="M87" s="1415"/>
      <c r="N87" s="1416" t="str">
        <f>IF(Feats!F27="","",Feats!L27)</f>
        <v/>
      </c>
      <c r="O87" s="1413"/>
      <c r="P87" s="1414"/>
      <c r="Q87" s="1415"/>
      <c r="R87" s="1415"/>
      <c r="S87" s="1415"/>
      <c r="T87" s="1415"/>
      <c r="U87" s="1415"/>
      <c r="V87" s="1415"/>
      <c r="W87" s="1415"/>
      <c r="X87" s="1415"/>
      <c r="Y87" s="1415"/>
      <c r="Z87" s="1415"/>
      <c r="AA87" s="1415"/>
      <c r="AB87" s="1417"/>
      <c r="AC87" s="637"/>
    </row>
    <row r="88" spans="1:29" ht="19.5" customHeight="1" collapsed="1" x14ac:dyDescent="0.25">
      <c r="A88" s="656"/>
      <c r="B88" s="1418" t="str">
        <f>IF(Feats!F28="","",Feats!F28)</f>
        <v>Continual Recovery (E Medicine)</v>
      </c>
      <c r="C88" s="1419"/>
      <c r="D88" s="1419"/>
      <c r="E88" s="1419"/>
      <c r="F88" s="1419"/>
      <c r="G88" s="1419"/>
      <c r="H88" s="1419"/>
      <c r="I88" s="1420"/>
      <c r="J88" s="1419" t="str">
        <f>IF(Feats!F28="","",Feats!M28)</f>
        <v>Skill feat</v>
      </c>
      <c r="K88" s="1420"/>
      <c r="L88" s="1419"/>
      <c r="M88" s="1419"/>
      <c r="N88" s="1421">
        <f>IF(Feats!F28="","",Feats!L28)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customHeight="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customHeight="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customHeight="1" x14ac:dyDescent="0.3">
      <c r="A92" s="643"/>
      <c r="B92" s="490"/>
      <c r="C92" s="490"/>
      <c r="D92" s="489" t="s">
        <v>324</v>
      </c>
      <c r="E92" s="490"/>
      <c r="F92" s="490"/>
      <c r="G92" s="490"/>
      <c r="H92" s="490"/>
      <c r="I92" s="489" t="s">
        <v>79</v>
      </c>
      <c r="J92" s="490"/>
      <c r="K92" s="640" t="s">
        <v>490</v>
      </c>
      <c r="L92" s="490"/>
      <c r="M92" s="669" t="s">
        <v>554</v>
      </c>
      <c r="N92" s="701">
        <f>IF(Spells!F17="","",Spells!F17)</f>
        <v>3</v>
      </c>
      <c r="O92" s="702">
        <f>IF(Spells!F18="","",Spells!F18)</f>
        <v>3</v>
      </c>
      <c r="P92" s="702" t="str">
        <f>IF(Spells!F19="","",Spells!F19)</f>
        <v>2+4</v>
      </c>
      <c r="Q92" s="702" t="str">
        <f>IF(Spells!F20="","",Spells!F20)</f>
        <v/>
      </c>
      <c r="R92" s="702"/>
      <c r="S92" s="703"/>
      <c r="T92" s="703" t="str">
        <f>IF(Spells!F23="","",Spells!F23)</f>
        <v/>
      </c>
      <c r="U92" s="703" t="str">
        <f>IF(Spells!F24="","",Spells!F24)</f>
        <v/>
      </c>
      <c r="V92" s="703" t="str">
        <f>IF(Spells!F25="","",Spells!F25)</f>
        <v/>
      </c>
      <c r="W92" s="1226" t="str">
        <f>IF(Spells!F26="","",Spells!F26)</f>
        <v/>
      </c>
      <c r="X92" s="490"/>
      <c r="Y92" s="1265" t="s">
        <v>983</v>
      </c>
      <c r="Z92" s="490"/>
      <c r="AA92" s="490"/>
      <c r="AB92" s="490"/>
      <c r="AC92" s="637"/>
    </row>
    <row r="93" spans="1:29" ht="19.5" customHeight="1" x14ac:dyDescent="0.25">
      <c r="A93" s="643"/>
      <c r="B93" s="768">
        <f>Skills!F38</f>
        <v>11</v>
      </c>
      <c r="C93" s="704" t="s">
        <v>502</v>
      </c>
      <c r="D93" s="705">
        <f>Skills!F207</f>
        <v>7</v>
      </c>
      <c r="E93" s="706" t="str">
        <f>Skills!F165</f>
        <v>Trained</v>
      </c>
      <c r="F93" s="1466"/>
      <c r="G93" s="707" t="s">
        <v>499</v>
      </c>
      <c r="H93" s="705">
        <f>Skills!F70</f>
        <v>4</v>
      </c>
      <c r="I93" s="708" t="str">
        <f>Skills!F71</f>
        <v>WIS</v>
      </c>
      <c r="J93" s="490"/>
      <c r="K93" s="771">
        <f>Spells!F4</f>
        <v>3</v>
      </c>
      <c r="L93" s="490"/>
      <c r="M93" s="669" t="s">
        <v>490</v>
      </c>
      <c r="N93" s="492">
        <v>1</v>
      </c>
      <c r="O93" s="457">
        <v>2</v>
      </c>
      <c r="P93" s="457">
        <v>3</v>
      </c>
      <c r="Q93" s="457">
        <v>4</v>
      </c>
      <c r="R93" s="457">
        <v>5</v>
      </c>
      <c r="S93" s="457">
        <v>6</v>
      </c>
      <c r="T93" s="457">
        <v>7</v>
      </c>
      <c r="U93" s="457">
        <v>8</v>
      </c>
      <c r="V93" s="448">
        <v>9</v>
      </c>
      <c r="W93" s="1224">
        <v>10</v>
      </c>
      <c r="X93" s="490"/>
      <c r="Y93" s="771">
        <f>Spells!F16</f>
        <v>5</v>
      </c>
      <c r="Z93" s="490"/>
      <c r="AA93" s="490"/>
      <c r="AB93" s="490"/>
      <c r="AC93" s="637"/>
    </row>
    <row r="94" spans="1:29" ht="19.5" customHeight="1" x14ac:dyDescent="0.3">
      <c r="A94" s="596"/>
      <c r="B94" s="769">
        <f>Skills!F39</f>
        <v>21</v>
      </c>
      <c r="C94" s="709" t="s">
        <v>552</v>
      </c>
      <c r="D94" s="710">
        <f>Skills!F208</f>
        <v>7</v>
      </c>
      <c r="E94" s="711" t="str">
        <f>Skills!F167</f>
        <v>Trained</v>
      </c>
      <c r="F94" s="1420"/>
      <c r="G94" s="712" t="s">
        <v>499</v>
      </c>
      <c r="H94" s="710">
        <f>Skills!F70</f>
        <v>4</v>
      </c>
      <c r="I94" s="713" t="str">
        <f>Skills!F71</f>
        <v>WIS</v>
      </c>
      <c r="J94" s="490"/>
      <c r="K94" s="130"/>
      <c r="L94" s="493"/>
      <c r="M94" s="670" t="s">
        <v>459</v>
      </c>
      <c r="N94" s="698" t="str">
        <f>IF(Spells!F6="","",Spells!F6)</f>
        <v>All</v>
      </c>
      <c r="O94" s="699" t="str">
        <f>IF(Spells!F7="","",Spells!F7)</f>
        <v>All</v>
      </c>
      <c r="P94" s="699" t="str">
        <f>IF(Spells!F8="","",Spells!F8)</f>
        <v>All</v>
      </c>
      <c r="Q94" s="699" t="str">
        <f>IF(Spells!F9="","",Spells!F9)</f>
        <v/>
      </c>
      <c r="R94" s="699"/>
      <c r="S94" s="699"/>
      <c r="T94" s="699"/>
      <c r="U94" s="699"/>
      <c r="V94" s="700"/>
      <c r="W94" s="1225"/>
      <c r="X94" s="671"/>
      <c r="Y94" s="130"/>
      <c r="Z94" s="490"/>
      <c r="AA94" s="490"/>
      <c r="AB94" s="490"/>
      <c r="AC94" s="637"/>
    </row>
    <row r="95" spans="1:29" s="450" customFormat="1" ht="19.5" customHeight="1" x14ac:dyDescent="0.3">
      <c r="A95" s="672"/>
      <c r="B95" s="673" t="s">
        <v>555</v>
      </c>
      <c r="C95" s="674"/>
      <c r="D95" s="674"/>
      <c r="E95" s="674"/>
      <c r="F95" s="674"/>
      <c r="G95" s="674"/>
      <c r="H95" s="674"/>
      <c r="I95" s="674"/>
      <c r="J95" s="674"/>
      <c r="M95" s="670" t="s">
        <v>936</v>
      </c>
      <c r="N95" s="1218">
        <f>IF(Spells!F27="","",Spells!F27)</f>
        <v>3</v>
      </c>
      <c r="O95" s="1219">
        <f>IF(Spells!F28="","",Spells!F28)</f>
        <v>3</v>
      </c>
      <c r="P95" s="1219" t="str">
        <f>IF(Spells!F29="","",Spells!F29)</f>
        <v>2+4</v>
      </c>
      <c r="Q95" s="1219" t="str">
        <f>IF(Spells!F30="","",Spells!F30)</f>
        <v/>
      </c>
      <c r="R95" s="1219" t="str">
        <f>IF(Spells!F31="","",Spells!F31)</f>
        <v/>
      </c>
      <c r="S95" s="1220" t="str">
        <f>IF(Spells!F32="","",Spells!F32)</f>
        <v/>
      </c>
      <c r="T95" s="1220" t="str">
        <f>IF(Spells!F33="","",Spells!F33)</f>
        <v/>
      </c>
      <c r="U95" s="1220" t="str">
        <f>IF(Spells!F34="","",Spells!F34)</f>
        <v/>
      </c>
      <c r="V95" s="1220" t="str">
        <f>IF(Spells!F35="","",Spells!F35)</f>
        <v/>
      </c>
      <c r="W95" s="1222" t="str">
        <f>IF(Spells!F36="","",Spells!F36)</f>
        <v/>
      </c>
      <c r="AB95" s="641"/>
      <c r="AC95" s="642"/>
    </row>
    <row r="96" spans="1:29" s="627" customFormat="1" ht="19.5" customHeight="1" x14ac:dyDescent="0.3">
      <c r="A96" s="596"/>
      <c r="B96" s="838" t="str">
        <f>IF(Feats!F14="","",Feats!F14)</f>
        <v>Divine prepared spellcasting</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s="627" customFormat="1" ht="19.5" customHeight="1" x14ac:dyDescent="0.3">
      <c r="A97" s="596"/>
      <c r="B97" s="676" t="s">
        <v>557</v>
      </c>
      <c r="C97" s="130"/>
      <c r="D97" s="130"/>
      <c r="E97" s="674"/>
      <c r="F97" s="491" t="str">
        <f>IF(Spells!F5="","",Spells!F5)</f>
        <v>All</v>
      </c>
      <c r="G97" s="130"/>
      <c r="H97" s="674"/>
      <c r="I97" s="674"/>
      <c r="J97" s="130"/>
      <c r="K97" s="1423" t="str">
        <f>IF(Spells!F98="","","["&amp;Spells!F98&amp;"] "&amp;Spells!F99&amp;" ["&amp;Spells!F101&amp;"]")</f>
        <v>[Level 1] Magic Weapon [2 (SV)]</v>
      </c>
      <c r="L97" s="1424"/>
      <c r="M97" s="1425"/>
      <c r="N97" s="1425"/>
      <c r="O97" s="1425"/>
      <c r="P97" s="1425"/>
      <c r="Q97" s="1425"/>
      <c r="R97" s="1426"/>
      <c r="S97" s="1404"/>
      <c r="T97" s="1427"/>
      <c r="U97" s="1424"/>
      <c r="V97" s="747"/>
      <c r="W97" s="747"/>
      <c r="X97" s="747"/>
      <c r="Y97" s="747"/>
      <c r="Z97" s="747"/>
      <c r="AA97" s="1350"/>
      <c r="AB97" s="838"/>
      <c r="AC97" s="637"/>
    </row>
    <row r="98" spans="1:29" s="627" customFormat="1" ht="19.5" customHeight="1" x14ac:dyDescent="0.25">
      <c r="A98" s="596"/>
      <c r="B98" s="676" t="s">
        <v>165</v>
      </c>
      <c r="C98" s="130"/>
      <c r="D98" s="130"/>
      <c r="E98" s="130"/>
      <c r="F98" s="130"/>
      <c r="G98" s="130"/>
      <c r="H98" s="130"/>
      <c r="I98" s="130"/>
      <c r="J98" s="130"/>
      <c r="K98" s="1428" t="str">
        <f>IF(Spells!F100="","",Spells!F100)</f>
        <v>Touch, 1 min, +1 strike, 2 damage dice</v>
      </c>
      <c r="L98" s="749"/>
      <c r="M98" s="1429"/>
      <c r="N98" s="1429"/>
      <c r="O98" s="1429"/>
      <c r="P98" s="1429"/>
      <c r="Q98" s="1430"/>
      <c r="R98" s="1431"/>
      <c r="S98" s="1432"/>
      <c r="T98" s="1433"/>
      <c r="U98" s="749"/>
      <c r="V98" s="1434"/>
      <c r="W98" s="1434"/>
      <c r="X98" s="1434"/>
      <c r="Y98" s="1434"/>
      <c r="Z98" s="1434"/>
      <c r="AA98" s="1435"/>
      <c r="AB98" s="838"/>
      <c r="AC98" s="637"/>
    </row>
    <row r="99" spans="1:29" s="627" customFormat="1" ht="19.5" customHeight="1" x14ac:dyDescent="0.25">
      <c r="A99" s="596"/>
      <c r="B99" s="1449" t="str">
        <f>IF(Spells!F54="","","["&amp;Spells!F54&amp;"] "&amp;Spells!F55&amp;" ["&amp;Spells!F57&amp;"]")</f>
        <v>[Cantrip] Daze [2 (SV)]</v>
      </c>
      <c r="C99" s="1330"/>
      <c r="D99" s="1330"/>
      <c r="E99" s="1450"/>
      <c r="F99" s="1450"/>
      <c r="G99" s="1451"/>
      <c r="H99" s="1452"/>
      <c r="I99" s="1453"/>
      <c r="J99" s="130"/>
      <c r="K99" s="1436" t="str">
        <f>IF(Spells!F102="","","["&amp;Spells!F102&amp;"] "&amp;Spells!F103&amp;" ["&amp;Spells!F105&amp;"]")</f>
        <v>[Level 1] Magic Weapon [2 (SV)]</v>
      </c>
      <c r="L99" s="749"/>
      <c r="M99" s="1429"/>
      <c r="N99" s="1429"/>
      <c r="O99" s="1429"/>
      <c r="P99" s="1429"/>
      <c r="Q99" s="1430"/>
      <c r="R99" s="1431"/>
      <c r="S99" s="1432"/>
      <c r="T99" s="1433"/>
      <c r="U99" s="749"/>
      <c r="V99" s="1434"/>
      <c r="W99" s="1434"/>
      <c r="X99" s="1434"/>
      <c r="Y99" s="1434"/>
      <c r="Z99" s="1434"/>
      <c r="AA99" s="1435"/>
      <c r="AB99" s="838"/>
      <c r="AC99" s="637"/>
    </row>
    <row r="100" spans="1:29" s="627" customFormat="1" ht="19.5" customHeight="1" x14ac:dyDescent="0.25">
      <c r="A100" s="596"/>
      <c r="B100" s="1454" t="str">
        <f>IF(Spells!F56="","",Spells!F56)</f>
        <v>1 creat, 60', 1 rd, 1d6+4 mental and WIL or stunned 1</v>
      </c>
      <c r="C100" s="1334"/>
      <c r="D100" s="1334"/>
      <c r="E100" s="1455"/>
      <c r="F100" s="1455"/>
      <c r="G100" s="1455"/>
      <c r="H100" s="1456"/>
      <c r="I100" s="1457"/>
      <c r="J100" s="130"/>
      <c r="K100" s="1428" t="str">
        <f>IF(Spells!F104="","",Spells!F104)</f>
        <v>Touch, 1 min, +1 strike, 2 damage dice</v>
      </c>
      <c r="L100" s="749"/>
      <c r="M100" s="1429"/>
      <c r="N100" s="1429"/>
      <c r="O100" s="1429"/>
      <c r="P100" s="1429"/>
      <c r="Q100" s="1430"/>
      <c r="R100" s="1431"/>
      <c r="S100" s="1432"/>
      <c r="T100" s="1433"/>
      <c r="U100" s="749"/>
      <c r="V100" s="1434"/>
      <c r="W100" s="1434"/>
      <c r="X100" s="1434"/>
      <c r="Y100" s="1434"/>
      <c r="Z100" s="1434"/>
      <c r="AA100" s="1435"/>
      <c r="AB100" s="838"/>
      <c r="AC100" s="637"/>
    </row>
    <row r="101" spans="1:29" s="627" customFormat="1" ht="19.5" customHeight="1" x14ac:dyDescent="0.25">
      <c r="A101" s="596"/>
      <c r="B101" s="1458" t="str">
        <f>IF(Spells!F58="","","["&amp;Spells!F58&amp;"] "&amp;Spells!F59&amp;" ["&amp;Spells!F61&amp;"]")</f>
        <v>[Cantrip] Detect Magic [2 (SV)]</v>
      </c>
      <c r="C101" s="1335"/>
      <c r="D101" s="1334"/>
      <c r="E101" s="1455"/>
      <c r="F101" s="1456"/>
      <c r="G101" s="1455"/>
      <c r="H101" s="1459"/>
      <c r="I101" s="1457"/>
      <c r="J101" s="130"/>
      <c r="K101" s="1436" t="str">
        <f>IF(Spells!F106="","","["&amp;Spells!F106&amp;"] "&amp;Spells!F107&amp;" ["&amp;Spells!F109&amp;"]")</f>
        <v>[Level 1] Sanctuary [2 (SV)]</v>
      </c>
      <c r="L101" s="749"/>
      <c r="M101" s="1429"/>
      <c r="N101" s="1429"/>
      <c r="O101" s="1429"/>
      <c r="P101" s="1429"/>
      <c r="Q101" s="1430"/>
      <c r="R101" s="1431"/>
      <c r="S101" s="1432"/>
      <c r="T101" s="1433"/>
      <c r="U101" s="749"/>
      <c r="V101" s="1434"/>
      <c r="W101" s="1434"/>
      <c r="X101" s="1434"/>
      <c r="Y101" s="1434"/>
      <c r="Z101" s="1434"/>
      <c r="AA101" s="1435"/>
      <c r="AB101" s="838"/>
      <c r="AC101" s="637"/>
    </row>
    <row r="102" spans="1:29" s="627" customFormat="1" ht="19.5" customHeight="1" x14ac:dyDescent="0.25">
      <c r="A102" s="596"/>
      <c r="B102" s="1454" t="str">
        <f>IF(Spells!F60="","",Spells!F60)</f>
        <v>30' emanation</v>
      </c>
      <c r="C102" s="1460"/>
      <c r="D102" s="1334"/>
      <c r="E102" s="1455"/>
      <c r="F102" s="1456"/>
      <c r="G102" s="1455"/>
      <c r="H102" s="1456"/>
      <c r="I102" s="1457"/>
      <c r="J102" s="130"/>
      <c r="K102" s="1428" t="str">
        <f>IF(Spells!F108="","",Spells!F108)</f>
        <v>Touch, 1 creat, 1 min, WIL to attack</v>
      </c>
      <c r="L102" s="749"/>
      <c r="M102" s="1429"/>
      <c r="N102" s="1429"/>
      <c r="O102" s="1429"/>
      <c r="P102" s="1429"/>
      <c r="Q102" s="1430"/>
      <c r="R102" s="1431"/>
      <c r="S102" s="1432"/>
      <c r="T102" s="1433"/>
      <c r="U102" s="749"/>
      <c r="V102" s="1434"/>
      <c r="W102" s="1434"/>
      <c r="X102" s="1434"/>
      <c r="Y102" s="1434"/>
      <c r="Z102" s="1434"/>
      <c r="AA102" s="1435"/>
      <c r="AB102" s="838"/>
      <c r="AC102" s="637"/>
    </row>
    <row r="103" spans="1:29" s="627" customFormat="1" ht="19.5" customHeight="1" x14ac:dyDescent="0.25">
      <c r="A103" s="596"/>
      <c r="B103" s="1458" t="str">
        <f>IF(Spells!F62="","","["&amp;Spells!F62&amp;"] "&amp;Spells!F63&amp;" ["&amp;Spells!F65&amp;"]")</f>
        <v>[Cantrip] Disrupt Undead [2 (SV)]</v>
      </c>
      <c r="C103" s="1335"/>
      <c r="D103" s="1334"/>
      <c r="E103" s="1455"/>
      <c r="F103" s="1456"/>
      <c r="G103" s="1455"/>
      <c r="H103" s="1459"/>
      <c r="I103" s="1457"/>
      <c r="J103" s="130"/>
      <c r="K103" s="1436" t="str">
        <f>IF(Spells!F110="","","["&amp;Spells!F110&amp;"] "&amp;Spells!F111&amp;" ["&amp;Spells!F113&amp;"]")</f>
        <v>[Font Level 3 : 4/day] Heal [1(S)/2(SV)//3(MSV)]</v>
      </c>
      <c r="L103" s="749"/>
      <c r="M103" s="1429"/>
      <c r="N103" s="1429"/>
      <c r="O103" s="1429"/>
      <c r="P103" s="1429"/>
      <c r="Q103" s="1430"/>
      <c r="R103" s="1431"/>
      <c r="S103" s="1432"/>
      <c r="T103" s="1433"/>
      <c r="U103" s="749"/>
      <c r="V103" s="1434"/>
      <c r="W103" s="1434"/>
      <c r="X103" s="1434"/>
      <c r="Y103" s="1434"/>
      <c r="Z103" s="1434"/>
      <c r="AA103" s="1435"/>
      <c r="AB103" s="838"/>
      <c r="AC103" s="637"/>
    </row>
    <row r="104" spans="1:29" s="627" customFormat="1" ht="19.5" customHeight="1" x14ac:dyDescent="0.25">
      <c r="A104" s="596"/>
      <c r="B104" s="1454" t="str">
        <f>IF(Spells!F64="","",Spells!F64)</f>
        <v>1 undead, 30', FOR, 3d6+4, crit enfeebled 1 for 1 rd</v>
      </c>
      <c r="C104" s="1460"/>
      <c r="D104" s="1334"/>
      <c r="E104" s="1455"/>
      <c r="F104" s="1456"/>
      <c r="G104" s="1455"/>
      <c r="H104" s="1456"/>
      <c r="I104" s="1457"/>
      <c r="J104" s="130"/>
      <c r="K104" s="1428" t="str">
        <f>IF(Spells!F112="","",Spells!F112)</f>
        <v>1 creat//30', Touch/30', 3d8/3d8+24//3d8</v>
      </c>
      <c r="L104" s="749"/>
      <c r="M104" s="1429"/>
      <c r="N104" s="1429"/>
      <c r="O104" s="1429"/>
      <c r="P104" s="1430"/>
      <c r="Q104" s="1430"/>
      <c r="R104" s="1431"/>
      <c r="S104" s="1432"/>
      <c r="T104" s="1433"/>
      <c r="U104" s="749"/>
      <c r="V104" s="1434"/>
      <c r="W104" s="1434"/>
      <c r="X104" s="1434"/>
      <c r="Y104" s="1434"/>
      <c r="Z104" s="1434"/>
      <c r="AA104" s="1435"/>
      <c r="AB104" s="838"/>
      <c r="AC104" s="637"/>
    </row>
    <row r="105" spans="1:29" s="627" customFormat="1" ht="19.5" customHeight="1" x14ac:dyDescent="0.25">
      <c r="A105" s="596"/>
      <c r="B105" s="1458" t="str">
        <f>IF(Spells!F66="","","["&amp;Spells!F66&amp;"] "&amp;Spells!F67&amp;" ["&amp;Spells!F69&amp;"]")</f>
        <v>[Cantrip] Divine Lance [2 (SV)]</v>
      </c>
      <c r="C105" s="1335"/>
      <c r="D105" s="1334"/>
      <c r="E105" s="1455"/>
      <c r="F105" s="1456"/>
      <c r="G105" s="1455"/>
      <c r="H105" s="1459"/>
      <c r="I105" s="1457"/>
      <c r="J105" s="130"/>
      <c r="K105" s="1436" t="str">
        <f>IF(Spells!F114="","","["&amp;Spells!F114&amp;"] "&amp;Spells!F115&amp;" ["&amp;Spells!F117&amp;"]")</f>
        <v>[Sarenrae Level 2] Burning Hands [2 (SV)]</v>
      </c>
      <c r="L105" s="749"/>
      <c r="M105" s="1429"/>
      <c r="N105" s="1429"/>
      <c r="O105" s="1429"/>
      <c r="P105" s="1430"/>
      <c r="Q105" s="1430"/>
      <c r="R105" s="1431"/>
      <c r="S105" s="1432"/>
      <c r="T105" s="1433"/>
      <c r="U105" s="749"/>
      <c r="V105" s="1434"/>
      <c r="W105" s="1434"/>
      <c r="X105" s="1434"/>
      <c r="Y105" s="1434"/>
      <c r="Z105" s="1434"/>
      <c r="AA105" s="1435"/>
      <c r="AB105" s="838"/>
      <c r="AC105" s="637"/>
    </row>
    <row r="106" spans="1:29" s="627" customFormat="1" ht="19.5" customHeight="1" x14ac:dyDescent="0.25">
      <c r="A106" s="596"/>
      <c r="B106" s="1454" t="str">
        <f>IF(Spells!F68="","",Spells!F68)</f>
        <v>1 creat, 30', spell att, 3d4+4 align, crit 4d4+4</v>
      </c>
      <c r="C106" s="1460"/>
      <c r="D106" s="1334"/>
      <c r="E106" s="1455"/>
      <c r="F106" s="1456"/>
      <c r="G106" s="1455"/>
      <c r="H106" s="1456"/>
      <c r="I106" s="1457"/>
      <c r="J106" s="130"/>
      <c r="K106" s="1428" t="str">
        <f>IF(Spells!F116="","",Spells!F116)</f>
        <v>15' cone, Basic REF, 4d6 fire damage</v>
      </c>
      <c r="L106" s="749"/>
      <c r="M106" s="1429"/>
      <c r="N106" s="1429"/>
      <c r="O106" s="1429"/>
      <c r="P106" s="1430"/>
      <c r="Q106" s="1430"/>
      <c r="R106" s="1431"/>
      <c r="S106" s="1432"/>
      <c r="T106" s="1433"/>
      <c r="U106" s="749"/>
      <c r="V106" s="1434"/>
      <c r="W106" s="1434"/>
      <c r="X106" s="1434"/>
      <c r="Y106" s="1434"/>
      <c r="Z106" s="1434"/>
      <c r="AA106" s="1435"/>
      <c r="AB106" s="838"/>
      <c r="AC106" s="637"/>
    </row>
    <row r="107" spans="1:29" s="627" customFormat="1" ht="19.5" customHeight="1" x14ac:dyDescent="0.25">
      <c r="A107" s="596"/>
      <c r="B107" s="1458" t="str">
        <f>IF(Spells!F70="","","["&amp;Spells!F70&amp;"] "&amp;Spells!F71&amp;" ["&amp;Spells!F73&amp;"]")</f>
        <v>[Cantrip] Know Direction [2 (SV)]</v>
      </c>
      <c r="C107" s="1335"/>
      <c r="D107" s="1334"/>
      <c r="E107" s="1455"/>
      <c r="F107" s="1456"/>
      <c r="G107" s="1455"/>
      <c r="H107" s="1459"/>
      <c r="I107" s="1457"/>
      <c r="J107" s="130"/>
      <c r="K107" s="1436" t="str">
        <f>IF(Spells!F118="","","["&amp;Spells!F118&amp;"] "&amp;Spells!F119&amp;" ["&amp;Spells!F121&amp;"]")</f>
        <v>[Level 2] Restoration [1m (SV)]</v>
      </c>
      <c r="L107" s="749"/>
      <c r="M107" s="1429"/>
      <c r="N107" s="1429"/>
      <c r="O107" s="1429"/>
      <c r="P107" s="1430"/>
      <c r="Q107" s="1430"/>
      <c r="R107" s="1431"/>
      <c r="S107" s="1432"/>
      <c r="T107" s="1433"/>
      <c r="U107" s="749"/>
      <c r="V107" s="1434"/>
      <c r="W107" s="1434"/>
      <c r="X107" s="1434"/>
      <c r="Y107" s="1434"/>
      <c r="Z107" s="1434"/>
      <c r="AA107" s="1435"/>
      <c r="AB107" s="838"/>
      <c r="AC107" s="637"/>
    </row>
    <row r="108" spans="1:29" s="627" customFormat="1" ht="19.5" customHeight="1" x14ac:dyDescent="0.25">
      <c r="A108" s="596"/>
      <c r="B108" s="1454" t="str">
        <f>IF(Spells!F72="","",Spells!F72)</f>
        <v>Gives north</v>
      </c>
      <c r="C108" s="1460"/>
      <c r="D108" s="1334"/>
      <c r="E108" s="1455"/>
      <c r="F108" s="1456"/>
      <c r="G108" s="1455"/>
      <c r="H108" s="1459"/>
      <c r="I108" s="1457"/>
      <c r="J108" s="130"/>
      <c r="K108" s="1428" t="str">
        <f>IF(Spells!F120="","",Spells!F120)</f>
        <v>1 creat, touch, condition or toxin</v>
      </c>
      <c r="L108" s="749"/>
      <c r="M108" s="1429"/>
      <c r="N108" s="1429"/>
      <c r="O108" s="1429"/>
      <c r="P108" s="1430"/>
      <c r="Q108" s="1430"/>
      <c r="R108" s="1431"/>
      <c r="S108" s="1432"/>
      <c r="T108" s="1433"/>
      <c r="U108" s="749"/>
      <c r="V108" s="1434"/>
      <c r="W108" s="1434"/>
      <c r="X108" s="1434"/>
      <c r="Y108" s="1434"/>
      <c r="Z108" s="1434"/>
      <c r="AA108" s="1435"/>
      <c r="AB108" s="838"/>
      <c r="AC108" s="637"/>
    </row>
    <row r="109" spans="1:29" s="627" customFormat="1" ht="19.5" customHeight="1" x14ac:dyDescent="0.25">
      <c r="A109" s="596"/>
      <c r="B109" s="1458" t="str">
        <f>IF(Spells!F74="","","["&amp;Spells!F74&amp;"] "&amp;Spells!F75&amp;" ["&amp;Spells!F77&amp;"]")</f>
        <v>[Cantrip] Light [2 (SV)]</v>
      </c>
      <c r="C109" s="1335"/>
      <c r="D109" s="1334"/>
      <c r="E109" s="1455"/>
      <c r="F109" s="1455"/>
      <c r="G109" s="1455"/>
      <c r="H109" s="1459"/>
      <c r="I109" s="1457"/>
      <c r="J109" s="130"/>
      <c r="K109" s="1436" t="str">
        <f>IF(Spells!F122="","","["&amp;Spells!F122&amp;"] "&amp;Spells!F123&amp;" ["&amp;Spells!F125&amp;"]")</f>
        <v>[Level 2] Spiritual Weapon [2 (SV)]</v>
      </c>
      <c r="L109" s="749"/>
      <c r="M109" s="1429"/>
      <c r="N109" s="1429"/>
      <c r="O109" s="1429"/>
      <c r="P109" s="1430"/>
      <c r="Q109" s="1430"/>
      <c r="R109" s="1431"/>
      <c r="S109" s="1432"/>
      <c r="T109" s="1433"/>
      <c r="U109" s="749"/>
      <c r="V109" s="1434"/>
      <c r="W109" s="1434"/>
      <c r="X109" s="1434"/>
      <c r="Y109" s="1434"/>
      <c r="Z109" s="1434"/>
      <c r="AA109" s="1435"/>
      <c r="AB109" s="838"/>
      <c r="AC109" s="637"/>
    </row>
    <row r="110" spans="1:29" s="627" customFormat="1" ht="19.5" customHeight="1" x14ac:dyDescent="0.25">
      <c r="A110" s="596"/>
      <c r="B110" s="1454" t="str">
        <f>IF(Spells!F76="","",Spells!F76)</f>
        <v>1 object, Touch, Day, One, 20' bright + 20' dim</v>
      </c>
      <c r="C110" s="1460"/>
      <c r="D110" s="1334"/>
      <c r="E110" s="1455"/>
      <c r="F110" s="1455"/>
      <c r="G110" s="1455"/>
      <c r="H110" s="1459"/>
      <c r="I110" s="1457"/>
      <c r="J110" s="130"/>
      <c r="K110" s="1428" t="str">
        <f>IF(Spells!F124="","",Spells!F124)</f>
        <v>Sust 1 min, melee sp att, 1d8+4 force dmg</v>
      </c>
      <c r="L110" s="749"/>
      <c r="M110" s="1429"/>
      <c r="N110" s="1429"/>
      <c r="O110" s="1429"/>
      <c r="P110" s="1430"/>
      <c r="Q110" s="1430"/>
      <c r="R110" s="1431"/>
      <c r="S110" s="1432"/>
      <c r="T110" s="1433"/>
      <c r="U110" s="749"/>
      <c r="V110" s="1434"/>
      <c r="W110" s="1434"/>
      <c r="X110" s="1434"/>
      <c r="Y110" s="1434"/>
      <c r="Z110" s="1434"/>
      <c r="AA110" s="1435"/>
      <c r="AB110" s="838"/>
      <c r="AC110" s="637"/>
    </row>
    <row r="111" spans="1:29" s="627" customFormat="1" ht="19.5" customHeight="1" x14ac:dyDescent="0.25">
      <c r="A111" s="596"/>
      <c r="B111" s="1458" t="str">
        <f>IF(Spells!F78="","","["&amp;Spells!F78&amp;"] "&amp;Spells!F79&amp;" ["&amp;Spells!F81&amp;"]")</f>
        <v>[Cantrip] Shield [1 (V)]</v>
      </c>
      <c r="C111" s="1335"/>
      <c r="D111" s="1334"/>
      <c r="E111" s="1455"/>
      <c r="F111" s="1455"/>
      <c r="G111" s="1455"/>
      <c r="H111" s="1459"/>
      <c r="I111" s="1457"/>
      <c r="J111" s="130"/>
      <c r="K111" s="1437" t="str">
        <f>IF(Spells!F126="","","["&amp;Spells!F126&amp;"] "&amp;Spells!F127&amp;" ["&amp;Spells!F129&amp;"]")</f>
        <v>[Level 3] Blidness [2 (SV)]</v>
      </c>
      <c r="L111" s="749"/>
      <c r="M111" s="1429"/>
      <c r="N111" s="1429"/>
      <c r="O111" s="1429"/>
      <c r="P111" s="1430"/>
      <c r="Q111" s="1430"/>
      <c r="R111" s="1431"/>
      <c r="S111" s="1432"/>
      <c r="T111" s="1438"/>
      <c r="U111" s="749"/>
      <c r="V111" s="1434"/>
      <c r="W111" s="1434"/>
      <c r="X111" s="1434"/>
      <c r="Y111" s="1434"/>
      <c r="Z111" s="1434"/>
      <c r="AA111" s="1435"/>
      <c r="AB111" s="838"/>
      <c r="AC111" s="637"/>
    </row>
    <row r="112" spans="1:29" s="627" customFormat="1" ht="19.5" customHeight="1" x14ac:dyDescent="0.25">
      <c r="A112" s="596"/>
      <c r="B112" s="1454" t="str">
        <f>IF(Spells!F80="","",Spells!F80)</f>
        <v>+1 AC, until next turn, block hardness 10</v>
      </c>
      <c r="C112" s="1335"/>
      <c r="D112" s="1334"/>
      <c r="E112" s="1455"/>
      <c r="F112" s="1455"/>
      <c r="G112" s="1455"/>
      <c r="H112" s="1459"/>
      <c r="I112" s="1457"/>
      <c r="J112" s="130"/>
      <c r="K112" s="1428" t="str">
        <f>IF(Spells!F128="","",Spells!F128)</f>
        <v>1 creat, 30', FOR, blinded until beg. creat's turn</v>
      </c>
      <c r="L112" s="749"/>
      <c r="M112" s="1429"/>
      <c r="N112" s="1429"/>
      <c r="O112" s="1429"/>
      <c r="P112" s="1430"/>
      <c r="Q112" s="1430"/>
      <c r="R112" s="1431"/>
      <c r="S112" s="1432"/>
      <c r="T112" s="1438"/>
      <c r="U112" s="1439"/>
      <c r="V112" s="1434"/>
      <c r="W112" s="1434"/>
      <c r="X112" s="1434"/>
      <c r="Y112" s="1434"/>
      <c r="Z112" s="1434"/>
      <c r="AA112" s="1435"/>
      <c r="AB112" s="838"/>
      <c r="AC112" s="637"/>
    </row>
    <row r="113" spans="1:29" s="627" customFormat="1" ht="19.5" customHeight="1" x14ac:dyDescent="0.25">
      <c r="A113" s="596"/>
      <c r="B113" s="1458" t="str">
        <f>IF(Spells!F82="","","["&amp;Spells!F82&amp;"] "&amp;Spells!F83&amp;" ["&amp;Spells!F85&amp;"]")</f>
        <v>[Cantrip] Stabilize [2 (SV)]</v>
      </c>
      <c r="C113" s="1335"/>
      <c r="D113" s="1334"/>
      <c r="E113" s="1455"/>
      <c r="F113" s="1455"/>
      <c r="G113" s="1455"/>
      <c r="H113" s="1459"/>
      <c r="I113" s="1457"/>
      <c r="J113" s="130"/>
      <c r="K113" s="1446" t="str">
        <f>IF(Spells!F130="","","["&amp;Spells!F130&amp;"] "&amp;Spells!F131&amp;" ["&amp;Spells!F133&amp;"]")</f>
        <v>[Level 3] Searing Light [2 (SV)]</v>
      </c>
      <c r="L113" s="749"/>
      <c r="M113" s="1429"/>
      <c r="N113" s="1429"/>
      <c r="O113" s="1429"/>
      <c r="P113" s="1430"/>
      <c r="Q113" s="1430"/>
      <c r="R113" s="1431"/>
      <c r="S113" s="1432"/>
      <c r="T113" s="1438"/>
      <c r="U113" s="1439"/>
      <c r="V113" s="1434"/>
      <c r="W113" s="1434"/>
      <c r="X113" s="1434"/>
      <c r="Y113" s="1434"/>
      <c r="Z113" s="1434"/>
      <c r="AA113" s="1435"/>
      <c r="AB113" s="838"/>
      <c r="AC113" s="637"/>
    </row>
    <row r="114" spans="1:29" s="627" customFormat="1" ht="19.5" customHeight="1" x14ac:dyDescent="0.25">
      <c r="A114" s="596"/>
      <c r="B114" s="1454" t="str">
        <f>IF(Spells!F84="","",Spells!F84)</f>
        <v>1 dying creat, 30', end of dying, 0 HP</v>
      </c>
      <c r="C114" s="1335"/>
      <c r="D114" s="1334"/>
      <c r="E114" s="1455"/>
      <c r="F114" s="1455"/>
      <c r="G114" s="1455"/>
      <c r="H114" s="1459"/>
      <c r="I114" s="1457"/>
      <c r="J114" s="130"/>
      <c r="K114" s="1428" t="str">
        <f>IF(Spells!F132="","",Spells!F132)</f>
        <v>1 creat, 120', sp att, 5d6 (+5d6 fiend/undead)</v>
      </c>
      <c r="L114" s="1439"/>
      <c r="M114" s="1429"/>
      <c r="N114" s="1429"/>
      <c r="O114" s="1429"/>
      <c r="P114" s="1430"/>
      <c r="Q114" s="1430"/>
      <c r="R114" s="1431"/>
      <c r="S114" s="1432"/>
      <c r="T114" s="1438"/>
      <c r="U114" s="1439"/>
      <c r="V114" s="1434"/>
      <c r="W114" s="1434"/>
      <c r="X114" s="1434"/>
      <c r="Y114" s="1434"/>
      <c r="Z114" s="1434"/>
      <c r="AA114" s="1435"/>
      <c r="AB114" s="838"/>
      <c r="AC114" s="637"/>
    </row>
    <row r="115" spans="1:29" s="627" customFormat="1" ht="19.5" hidden="1" customHeight="1" outlineLevel="1" x14ac:dyDescent="0.25">
      <c r="A115" s="596"/>
      <c r="B115" s="1458" t="str">
        <f>IF(Spells!F86="","","["&amp;Spells!F86&amp;"] "&amp;Spells!F87&amp;" ["&amp;Spells!F89&amp;"]")</f>
        <v/>
      </c>
      <c r="C115" s="1335"/>
      <c r="D115" s="1334"/>
      <c r="E115" s="1455"/>
      <c r="F115" s="1455"/>
      <c r="G115" s="1455"/>
      <c r="H115" s="1459"/>
      <c r="I115" s="1457"/>
      <c r="J115" s="130"/>
      <c r="K115" s="1437" t="str">
        <f>IF(Spells!F134="","","["&amp;Spells!F134&amp;"] "&amp;Spells!F135&amp;" ["&amp;Spells!F137&amp;"]")</f>
        <v/>
      </c>
      <c r="L115" s="1439"/>
      <c r="M115" s="1429"/>
      <c r="N115" s="1429"/>
      <c r="O115" s="1429"/>
      <c r="P115" s="1430"/>
      <c r="Q115" s="1430"/>
      <c r="R115" s="1431"/>
      <c r="S115" s="1432"/>
      <c r="T115" s="1438"/>
      <c r="U115" s="1439"/>
      <c r="V115" s="1434"/>
      <c r="W115" s="1434"/>
      <c r="X115" s="1434"/>
      <c r="Y115" s="1434"/>
      <c r="Z115" s="1434"/>
      <c r="AA115" s="1435"/>
      <c r="AB115" s="838"/>
      <c r="AC115" s="637"/>
    </row>
    <row r="116" spans="1:29" s="627" customFormat="1" ht="19.5" hidden="1" customHeight="1" outlineLevel="1" x14ac:dyDescent="0.25">
      <c r="A116" s="596"/>
      <c r="B116" s="1454" t="str">
        <f>IF(Spells!F88="","",Spells!F88)</f>
        <v/>
      </c>
      <c r="C116" s="1335"/>
      <c r="D116" s="1334"/>
      <c r="E116" s="1455"/>
      <c r="F116" s="1455"/>
      <c r="G116" s="1455"/>
      <c r="H116" s="1459"/>
      <c r="I116" s="1457"/>
      <c r="J116" s="130"/>
      <c r="K116" s="1428" t="str">
        <f>IF(Spells!F136="","",Spells!F136)</f>
        <v/>
      </c>
      <c r="L116" s="1439"/>
      <c r="M116" s="1429"/>
      <c r="N116" s="1429"/>
      <c r="O116" s="1429"/>
      <c r="P116" s="1430"/>
      <c r="Q116" s="1430"/>
      <c r="R116" s="1431"/>
      <c r="S116" s="1432"/>
      <c r="T116" s="1438"/>
      <c r="U116" s="1439"/>
      <c r="V116" s="1434"/>
      <c r="W116" s="1434"/>
      <c r="X116" s="1434"/>
      <c r="Y116" s="1434"/>
      <c r="Z116" s="1434"/>
      <c r="AA116" s="1435"/>
      <c r="AB116" s="838"/>
      <c r="AC116" s="637"/>
    </row>
    <row r="117" spans="1:29" s="627" customFormat="1" ht="19.5" hidden="1" customHeight="1" outlineLevel="1" x14ac:dyDescent="0.25">
      <c r="A117" s="596"/>
      <c r="B117" s="1458" t="str">
        <f>IF(Spells!F90="","","["&amp;Spells!F90&amp;"] "&amp;Spells!F91&amp;" ["&amp;Spells!F93&amp;"]")</f>
        <v/>
      </c>
      <c r="C117" s="1335"/>
      <c r="D117" s="1334"/>
      <c r="E117" s="1455"/>
      <c r="F117" s="1455"/>
      <c r="G117" s="1455"/>
      <c r="H117" s="1459"/>
      <c r="I117" s="1457"/>
      <c r="J117" s="130"/>
      <c r="K117" s="1437" t="str">
        <f>IF(Spells!F138="","","["&amp;Spells!F138&amp;"] "&amp;Spells!F139&amp;" ["&amp;Spells!F141&amp;"]")</f>
        <v/>
      </c>
      <c r="L117" s="1439"/>
      <c r="M117" s="1429"/>
      <c r="N117" s="1429"/>
      <c r="O117" s="1429"/>
      <c r="P117" s="1430"/>
      <c r="Q117" s="1430"/>
      <c r="R117" s="1431"/>
      <c r="S117" s="1432"/>
      <c r="T117" s="1438"/>
      <c r="U117" s="1439"/>
      <c r="V117" s="1434"/>
      <c r="W117" s="1434"/>
      <c r="X117" s="1434"/>
      <c r="Y117" s="1434"/>
      <c r="Z117" s="1434"/>
      <c r="AA117" s="1435"/>
      <c r="AB117" s="838"/>
      <c r="AC117" s="637"/>
    </row>
    <row r="118" spans="1:29" s="627" customFormat="1" ht="19.5" hidden="1" customHeight="1" outlineLevel="1" x14ac:dyDescent="0.25">
      <c r="A118" s="596"/>
      <c r="B118" s="1454" t="str">
        <f>IF(Spells!F92="","",Spells!F92)</f>
        <v/>
      </c>
      <c r="C118" s="1335"/>
      <c r="D118" s="1334"/>
      <c r="E118" s="1455"/>
      <c r="F118" s="1455"/>
      <c r="G118" s="1455"/>
      <c r="H118" s="1459"/>
      <c r="I118" s="1457"/>
      <c r="J118" s="130"/>
      <c r="K118" s="1428" t="str">
        <f>IF(Spells!F140="","",Spells!F140)</f>
        <v/>
      </c>
      <c r="L118" s="1439"/>
      <c r="M118" s="1429"/>
      <c r="N118" s="1429"/>
      <c r="O118" s="1429"/>
      <c r="P118" s="1430"/>
      <c r="Q118" s="1430"/>
      <c r="R118" s="1431"/>
      <c r="S118" s="1432"/>
      <c r="T118" s="1438"/>
      <c r="U118" s="1439"/>
      <c r="V118" s="1434"/>
      <c r="W118" s="1434"/>
      <c r="X118" s="1434"/>
      <c r="Y118" s="1434"/>
      <c r="Z118" s="1434"/>
      <c r="AA118" s="1435"/>
      <c r="AB118" s="838"/>
      <c r="AC118" s="637"/>
    </row>
    <row r="119" spans="1:29" s="627" customFormat="1" ht="19.5" hidden="1" customHeight="1" outlineLevel="1" x14ac:dyDescent="0.25">
      <c r="A119" s="596"/>
      <c r="B119" s="1458" t="str">
        <f>IF(Spells!F94="","","["&amp;Spells!F94&amp;"] "&amp;Spells!F95&amp;" ["&amp;Spells!F97&amp;"]")</f>
        <v/>
      </c>
      <c r="C119" s="1335"/>
      <c r="D119" s="1334"/>
      <c r="E119" s="1455"/>
      <c r="F119" s="1455"/>
      <c r="G119" s="1455"/>
      <c r="H119" s="1459"/>
      <c r="I119" s="1457"/>
      <c r="J119" s="130"/>
      <c r="K119" s="1437" t="str">
        <f>IF(Spells!F142="","","["&amp;Spells!F142&amp;"] "&amp;Spells!F143&amp;" ["&amp;Spells!F145&amp;"]")</f>
        <v/>
      </c>
      <c r="L119" s="1439"/>
      <c r="M119" s="1429"/>
      <c r="N119" s="1429"/>
      <c r="O119" s="1429"/>
      <c r="P119" s="1430"/>
      <c r="Q119" s="1430"/>
      <c r="R119" s="1431"/>
      <c r="S119" s="1432"/>
      <c r="T119" s="1438"/>
      <c r="U119" s="1439"/>
      <c r="V119" s="1434"/>
      <c r="W119" s="1434"/>
      <c r="X119" s="1434"/>
      <c r="Y119" s="1434"/>
      <c r="Z119" s="1434"/>
      <c r="AA119" s="1435"/>
      <c r="AB119" s="838"/>
      <c r="AC119" s="637"/>
    </row>
    <row r="120" spans="1:29" s="627" customFormat="1" ht="19.5" customHeight="1" collapsed="1" x14ac:dyDescent="0.25">
      <c r="A120" s="596"/>
      <c r="B120" s="1461" t="str">
        <f>IF(Spells!F96="","",Spells!F96)</f>
        <v/>
      </c>
      <c r="C120" s="1338"/>
      <c r="D120" s="1462"/>
      <c r="E120" s="1463"/>
      <c r="F120" s="1463"/>
      <c r="G120" s="1463"/>
      <c r="H120" s="1464"/>
      <c r="I120" s="1465"/>
      <c r="J120" s="130"/>
      <c r="K120" s="1428" t="str">
        <f>IF(Spells!F144="","",Spells!F144)</f>
        <v/>
      </c>
      <c r="L120" s="1439"/>
      <c r="M120" s="1429"/>
      <c r="N120" s="1429"/>
      <c r="O120" s="1429"/>
      <c r="P120" s="1430"/>
      <c r="Q120" s="1430"/>
      <c r="R120" s="1431"/>
      <c r="S120" s="1432"/>
      <c r="T120" s="1438"/>
      <c r="U120" s="1439"/>
      <c r="V120" s="1434"/>
      <c r="W120" s="1434"/>
      <c r="X120" s="1434"/>
      <c r="Y120" s="1434"/>
      <c r="Z120" s="1434"/>
      <c r="AA120" s="1435"/>
      <c r="AB120" s="838"/>
      <c r="AC120" s="637"/>
    </row>
    <row r="121" spans="1:29" s="627" customFormat="1" ht="19.5" hidden="1" customHeight="1" outlineLevel="1" x14ac:dyDescent="0.25">
      <c r="A121" s="596"/>
      <c r="C121" s="838"/>
      <c r="D121" s="130"/>
      <c r="E121" s="130"/>
      <c r="F121" s="130"/>
      <c r="G121" s="130"/>
      <c r="H121" s="130"/>
      <c r="I121" s="130"/>
      <c r="J121" s="130"/>
      <c r="K121" s="1437" t="str">
        <f>IF(Spells!F146="","","["&amp;Spells!F146&amp;"] "&amp;Spells!F147&amp;" ["&amp;Spells!F149&amp;"]")</f>
        <v/>
      </c>
      <c r="L121" s="1439"/>
      <c r="M121" s="1434"/>
      <c r="N121" s="1434"/>
      <c r="O121" s="1434"/>
      <c r="P121" s="1434"/>
      <c r="Q121" s="1434"/>
      <c r="R121" s="1435"/>
      <c r="S121" s="1432"/>
      <c r="T121" s="1438"/>
      <c r="U121" s="1439"/>
      <c r="V121" s="1434"/>
      <c r="W121" s="1434"/>
      <c r="X121" s="1434"/>
      <c r="Y121" s="1434"/>
      <c r="Z121" s="1434"/>
      <c r="AA121" s="1435"/>
      <c r="AB121" s="838"/>
      <c r="AC121" s="637"/>
    </row>
    <row r="122" spans="1:29" s="627" customFormat="1" ht="19.5" hidden="1" customHeight="1" outlineLevel="1" x14ac:dyDescent="0.25">
      <c r="A122" s="596"/>
      <c r="B122" s="676" t="s">
        <v>558</v>
      </c>
      <c r="C122" s="457"/>
      <c r="D122" s="496"/>
      <c r="E122" s="457"/>
      <c r="F122" s="456"/>
      <c r="G122" s="496"/>
      <c r="H122" s="495"/>
      <c r="I122" s="456"/>
      <c r="J122" s="130"/>
      <c r="K122" s="1428" t="str">
        <f>IF(Spells!F148="","",Spells!F148)</f>
        <v/>
      </c>
      <c r="L122" s="1439"/>
      <c r="M122" s="1434"/>
      <c r="N122" s="1434"/>
      <c r="O122" s="1434"/>
      <c r="P122" s="1434"/>
      <c r="Q122" s="1434"/>
      <c r="R122" s="1435"/>
      <c r="S122" s="1432"/>
      <c r="T122" s="1438"/>
      <c r="U122" s="1439"/>
      <c r="V122" s="1434"/>
      <c r="W122" s="1434"/>
      <c r="X122" s="1434"/>
      <c r="Y122" s="1434"/>
      <c r="Z122" s="1434"/>
      <c r="AA122" s="1435"/>
      <c r="AB122" s="838"/>
      <c r="AC122" s="637"/>
    </row>
    <row r="123" spans="1:29" s="627" customFormat="1" ht="19.5" hidden="1" customHeight="1" outlineLevel="1" x14ac:dyDescent="0.25">
      <c r="A123" s="596"/>
      <c r="B123" s="1482" t="str">
        <f>IF(Spells!F37="","","["&amp;Spells!F37&amp;"] "&amp;Spells!F38&amp;" ["&amp;Spells!F40&amp;"]")</f>
        <v/>
      </c>
      <c r="C123" s="1466"/>
      <c r="D123" s="706"/>
      <c r="E123" s="706"/>
      <c r="F123" s="706"/>
      <c r="G123" s="706"/>
      <c r="H123" s="1483"/>
      <c r="I123" s="708"/>
      <c r="J123" s="130"/>
      <c r="K123" s="1437" t="str">
        <f>IF(Spells!F150="","","["&amp;Spells!F150&amp;"] "&amp;Spells!F151&amp;" ["&amp;Spells!F153&amp;"]")</f>
        <v/>
      </c>
      <c r="L123" s="1439"/>
      <c r="M123" s="1434"/>
      <c r="N123" s="1434"/>
      <c r="O123" s="1434"/>
      <c r="P123" s="1434"/>
      <c r="Q123" s="1434"/>
      <c r="R123" s="1435"/>
      <c r="S123" s="1432"/>
      <c r="T123" s="1438"/>
      <c r="U123" s="1439"/>
      <c r="V123" s="1434"/>
      <c r="W123" s="1434"/>
      <c r="X123" s="1434"/>
      <c r="Y123" s="1434"/>
      <c r="Z123" s="1434"/>
      <c r="AA123" s="1435"/>
      <c r="AB123" s="838"/>
      <c r="AC123" s="637"/>
    </row>
    <row r="124" spans="1:29" s="627" customFormat="1" ht="19.5" hidden="1" customHeight="1" outlineLevel="1" x14ac:dyDescent="0.25">
      <c r="A124" s="596"/>
      <c r="B124" s="1484" t="str">
        <f>IF(Spells!F39="","",Spells!F39)</f>
        <v/>
      </c>
      <c r="C124" s="1485"/>
      <c r="D124" s="1485"/>
      <c r="E124" s="1485"/>
      <c r="F124" s="1485"/>
      <c r="G124" s="1485"/>
      <c r="H124" s="1486"/>
      <c r="I124" s="1487"/>
      <c r="J124" s="130"/>
      <c r="K124" s="1447" t="str">
        <f>IF(Spells!F152="","",Spells!F152)</f>
        <v/>
      </c>
      <c r="L124" s="1439"/>
      <c r="M124" s="1434"/>
      <c r="N124" s="1434"/>
      <c r="O124" s="1434"/>
      <c r="P124" s="1434"/>
      <c r="Q124" s="1434"/>
      <c r="R124" s="1435"/>
      <c r="S124" s="1432"/>
      <c r="T124" s="1438"/>
      <c r="U124" s="1439"/>
      <c r="V124" s="1434"/>
      <c r="W124" s="1434"/>
      <c r="X124" s="1434"/>
      <c r="Y124" s="1434"/>
      <c r="Z124" s="1434"/>
      <c r="AA124" s="1435"/>
      <c r="AB124" s="838"/>
      <c r="AC124" s="637"/>
    </row>
    <row r="125" spans="1:29" s="627" customFormat="1" ht="19.5" hidden="1" customHeight="1" outlineLevel="1" x14ac:dyDescent="0.25">
      <c r="A125" s="596"/>
      <c r="B125" s="1488" t="str">
        <f>IF(Spells!F41="","","["&amp;Spells!F41&amp;"] "&amp;Spells!F42&amp;" ["&amp;Spells!F44&amp;"]")</f>
        <v/>
      </c>
      <c r="C125" s="1485"/>
      <c r="D125" s="1485"/>
      <c r="E125" s="1485"/>
      <c r="F125" s="1485"/>
      <c r="G125" s="1485"/>
      <c r="H125" s="1489"/>
      <c r="I125" s="1487"/>
      <c r="J125" s="130"/>
      <c r="K125" s="1437" t="str">
        <f>IF(Spells!F154="","","["&amp;Spells!F154&amp;"] "&amp;Spells!F155&amp;" ["&amp;Spells!F157&amp;"]")</f>
        <v/>
      </c>
      <c r="L125" s="1439"/>
      <c r="M125" s="1434"/>
      <c r="N125" s="1434"/>
      <c r="O125" s="1434"/>
      <c r="P125" s="1434"/>
      <c r="Q125" s="1434"/>
      <c r="R125" s="1435"/>
      <c r="S125" s="1432"/>
      <c r="T125" s="1438"/>
      <c r="U125" s="1439"/>
      <c r="V125" s="1434"/>
      <c r="W125" s="1434"/>
      <c r="X125" s="1434"/>
      <c r="Y125" s="1434"/>
      <c r="Z125" s="1434"/>
      <c r="AA125" s="1435"/>
      <c r="AB125" s="838"/>
      <c r="AC125" s="637"/>
    </row>
    <row r="126" spans="1:29" s="627" customFormat="1" ht="19.5" hidden="1" customHeight="1" outlineLevel="1" x14ac:dyDescent="0.25">
      <c r="A126" s="596"/>
      <c r="B126" s="1490" t="str">
        <f>IF(Spells!F43="","",Spells!F43)</f>
        <v/>
      </c>
      <c r="C126" s="711"/>
      <c r="D126" s="711"/>
      <c r="E126" s="711"/>
      <c r="F126" s="711"/>
      <c r="G126" s="711"/>
      <c r="H126" s="1420"/>
      <c r="I126" s="713"/>
      <c r="J126" s="130"/>
      <c r="K126" s="1447" t="str">
        <f>IF(Spells!F156="","",Spells!F156)</f>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s="627" customFormat="1" ht="19.5" hidden="1" customHeight="1" outlineLevel="1" x14ac:dyDescent="0.25">
      <c r="A127" s="596"/>
      <c r="C127" s="838"/>
      <c r="D127" s="130"/>
      <c r="E127" s="130"/>
      <c r="F127" s="130"/>
      <c r="G127" s="130"/>
      <c r="H127" s="130"/>
      <c r="I127" s="130"/>
      <c r="J127" s="130"/>
      <c r="K127" s="1437" t="str">
        <f>IF(Spells!F158="","","["&amp;Spells!F158&amp;"] "&amp;Spells!F159&amp;" ["&amp;Spells!F161&amp;"]")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s="627" customFormat="1" ht="19.5" customHeight="1" collapsed="1" x14ac:dyDescent="0.25">
      <c r="A128" s="596"/>
      <c r="B128" s="495" t="s">
        <v>164</v>
      </c>
      <c r="C128" s="457"/>
      <c r="D128" s="495" t="s">
        <v>560</v>
      </c>
      <c r="E128" s="130"/>
      <c r="F128" s="130"/>
      <c r="G128" s="130"/>
      <c r="H128" s="130"/>
      <c r="I128" s="130"/>
      <c r="J128" s="130"/>
      <c r="K128" s="1447" t="str">
        <f>IF(Spells!F160="","",Spells!F160)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s="627" customFormat="1" ht="19.5" customHeight="1" x14ac:dyDescent="0.3">
      <c r="A129" s="596"/>
      <c r="B129" s="770">
        <f>IF(Spells!F45="","",Spells!F45)</f>
        <v>1</v>
      </c>
      <c r="C129" s="130"/>
      <c r="D129" s="497"/>
      <c r="E129" s="130"/>
      <c r="F129" s="130"/>
      <c r="G129" s="130"/>
      <c r="H129" s="130"/>
      <c r="I129" s="130"/>
      <c r="J129" s="130"/>
      <c r="K129" s="1437" t="str">
        <f>IF(Spells!F162="","","["&amp;Spells!F162&amp;"] "&amp;Spells!F163&amp;" ["&amp;Spells!F165&amp;"]")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s="627" customFormat="1" ht="19.5" customHeight="1" x14ac:dyDescent="0.25">
      <c r="A130" s="596"/>
      <c r="B130" s="676" t="s">
        <v>559</v>
      </c>
      <c r="C130" s="457"/>
      <c r="D130" s="496"/>
      <c r="E130" s="457"/>
      <c r="F130" s="456"/>
      <c r="G130" s="496"/>
      <c r="H130" s="495"/>
      <c r="I130" s="456"/>
      <c r="J130" s="130"/>
      <c r="K130" s="1447" t="str">
        <f>IF(Spells!F164="","",Spells!F164)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s="627" customFormat="1" ht="19.5" customHeight="1" x14ac:dyDescent="0.25">
      <c r="A131" s="596"/>
      <c r="B131" s="1467" t="str">
        <f>IF(Spells!F46="","","["&amp;Spells!F46&amp;"] "&amp;Spells!F47&amp;" ["&amp;Spells!F49&amp;"]")</f>
        <v>[Focus 1] Healer's Blessing [1 (V)]</v>
      </c>
      <c r="C131" s="1468"/>
      <c r="D131" s="1469"/>
      <c r="E131" s="1470"/>
      <c r="F131" s="1470"/>
      <c r="G131" s="1470"/>
      <c r="H131" s="1470"/>
      <c r="I131" s="1471"/>
      <c r="J131" s="130"/>
      <c r="K131" s="1437" t="str">
        <f>IF(Spells!F166="","","["&amp;Spells!F166&amp;"] "&amp;Spells!F167&amp;" ["&amp;Spells!F169&amp;"]")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s="627" customFormat="1" ht="19.5" customHeight="1" x14ac:dyDescent="0.25">
      <c r="A132" s="596"/>
      <c r="B132" s="1472" t="str">
        <f>IF(Spells!F48="","",Spells!F48)</f>
        <v>1 creat, 30', 1 min, +6HP when healed</v>
      </c>
      <c r="C132" s="1473"/>
      <c r="D132" s="1474"/>
      <c r="E132" s="1474"/>
      <c r="F132" s="1474"/>
      <c r="G132" s="1474"/>
      <c r="H132" s="1473"/>
      <c r="I132" s="1475"/>
      <c r="J132" s="130"/>
      <c r="K132" s="1447" t="str">
        <f>IF(Spells!F168="","",Spells!F168)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s="627" customFormat="1" ht="19.5" customHeight="1" x14ac:dyDescent="0.25">
      <c r="A133" s="596"/>
      <c r="B133" s="1476" t="str">
        <f>IF(Spells!F50="","","["&amp;Spells!F50&amp;"] "&amp;Spells!F51&amp;" ["&amp;Spells!F53&amp;"]")</f>
        <v/>
      </c>
      <c r="C133" s="1477"/>
      <c r="D133" s="1474"/>
      <c r="E133" s="1474"/>
      <c r="F133" s="1474"/>
      <c r="G133" s="1474"/>
      <c r="H133" s="1474"/>
      <c r="I133" s="1475"/>
      <c r="J133" s="130"/>
      <c r="K133" s="1437" t="str">
        <f>IF(Spells!F170="","","["&amp;Spells!F170&amp;"] "&amp;Spells!F171&amp;" ["&amp;Spells!F173&amp;"]")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s="627" customFormat="1" ht="19.5" customHeight="1" x14ac:dyDescent="0.25">
      <c r="A134" s="596"/>
      <c r="B134" s="1478" t="str">
        <f>IF(Spells!F52="","",Spells!F52)</f>
        <v/>
      </c>
      <c r="C134" s="1479"/>
      <c r="D134" s="1480"/>
      <c r="E134" s="1480"/>
      <c r="F134" s="1480"/>
      <c r="G134" s="1480"/>
      <c r="H134" s="1479"/>
      <c r="I134" s="1481"/>
      <c r="J134" s="130"/>
      <c r="K134" s="1448" t="str">
        <f>IF(Spells!F172="","",Spells!F172)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s="627" customFormat="1" ht="19.5" customHeight="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customHeight="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IF(Création!F12="","",Création!F12)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Création!F5</f>
        <v>M</v>
      </c>
      <c r="I139" s="1492"/>
      <c r="J139" s="454"/>
      <c r="K139" s="1497" t="str">
        <f>IF(Création!F13="","",Création!F13)</f>
        <v>Elven</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IF(Création!F14="","",Création!F14)</f>
        <v>INT 12 = Draconic</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IF(Création!F15="","",Création!F15)</f>
        <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IF(Création!F16="","",Création!F16)</f>
        <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IF(Création!F17="","",Création!F17)</f>
        <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8.75"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62.25" customHeight="1" x14ac:dyDescent="0.25">
      <c r="A145" s="656"/>
      <c r="B145" s="1547" t="str">
        <f>'Equipment Combat'!F533</f>
        <v>Acts fundamentally opposed to your deity's alignment or ideals are anathema to your faith. Learning or casting spells, committing acts, and using items that are anathema to your deity remove you from your deity's good graces.
Casting spells with the evil trait is almost always anathema to good deities.
Creating undead, lying, denying a repentant creature an opportunity for redemption, failing to strike down evil are anathema to clerics of Sarenrae.</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Création!F37</f>
        <v xml:space="preserve">  </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8.75" hidden="1" outlineLevel="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5" hidden="1" outlineLevel="1" x14ac:dyDescent="0.25">
      <c r="A149" s="656"/>
      <c r="B149" s="1410" t="str">
        <f>IF(Minions!E87="","",Minions!E87)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5" hidden="1" outlineLevel="1" x14ac:dyDescent="0.25">
      <c r="A150" s="656"/>
      <c r="B150" s="1414" t="str">
        <f>IF(Minions!E88="","",Minions!E88)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5" hidden="1" outlineLevel="1" x14ac:dyDescent="0.25">
      <c r="A151" s="656"/>
      <c r="B151" s="1414" t="str">
        <f>IF(Minions!E89="","",Minions!E89)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5" hidden="1" outlineLevel="1" x14ac:dyDescent="0.25">
      <c r="A152" s="656"/>
      <c r="B152" s="1414" t="str">
        <f>IF(Minions!E90="","",Minions!E90)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IF(Minions!E91="","",Minions!E91)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5.75"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O23:P23"/>
    <mergeCell ref="R62:W62"/>
    <mergeCell ref="I7:J7"/>
    <mergeCell ref="K7:L7"/>
    <mergeCell ref="M7:N7"/>
    <mergeCell ref="O17:Q17"/>
    <mergeCell ref="S9:U9"/>
    <mergeCell ref="B147:AB147"/>
    <mergeCell ref="G24:H24"/>
    <mergeCell ref="J9:K9"/>
    <mergeCell ref="E18:F18"/>
    <mergeCell ref="O18:P18"/>
    <mergeCell ref="E19:F19"/>
    <mergeCell ref="O19:P19"/>
    <mergeCell ref="E20:F20"/>
    <mergeCell ref="O20:P20"/>
    <mergeCell ref="E21:F21"/>
    <mergeCell ref="O21:P21"/>
    <mergeCell ref="E22:F22"/>
    <mergeCell ref="X62:AB62"/>
    <mergeCell ref="O22:P22"/>
    <mergeCell ref="E23:F23"/>
    <mergeCell ref="B145:AB145"/>
  </mergeCells>
  <conditionalFormatting sqref="R62:W62">
    <cfRule type="containsText" dxfId="19" priority="3" operator="containsText" text="Cannot">
      <formula>NOT(ISERROR(SEARCH("Cannot",R62)))</formula>
    </cfRule>
    <cfRule type="containsText" dxfId="18" priority="4" operator="containsText" text="Encumbered">
      <formula>NOT(ISERROR(SEARCH("Encumbered",R62)))</formula>
    </cfRule>
    <cfRule type="containsText" dxfId="17" priority="5" operator="containsText" text="Fine">
      <formula>NOT(ISERROR(SEARCH("Fine",R62)))</formula>
    </cfRule>
  </conditionalFormatting>
  <conditionalFormatting sqref="X62">
    <cfRule type="containsText" dxfId="16" priority="1" operator="containsText" text="Overloaded">
      <formula>NOT(ISERROR(SEARCH("Overloaded",X62)))</formula>
    </cfRule>
    <cfRule type="containsText" dxfId="15" priority="2" operator="containsText" text="OK">
      <formula>NOT(ISERROR(SEARCH("OK",X62)))</formula>
    </cfRule>
  </conditionalFormatting>
  <hyperlinks>
    <hyperlink ref="D1" r:id="rId1" location="id=2534175" xr:uid="{154ABCE4-0C88-469E-85FF-2B34B3A37B40}"/>
  </hyperlinks>
  <pageMargins left="0.25" right="0.25" top="0.75" bottom="0.75" header="0.3" footer="0.3"/>
  <pageSetup paperSize="9" scale="69" orientation="portrait" horizontalDpi="360" verticalDpi="36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96C7-ADBA-436A-85C9-E9B0CC2FF683}">
  <sheetPr>
    <pageSetUpPr fitToPage="1"/>
  </sheetPr>
  <dimension ref="A1:AC160"/>
  <sheetViews>
    <sheetView showGridLines="0" workbookViewId="0">
      <pane ySplit="2" topLeftCell="A3" activePane="bottomLeft" state="frozen"/>
      <selection activeCell="T8" sqref="T8"/>
      <selection pane="bottomLeft" activeCell="T7" sqref="T7"/>
    </sheetView>
  </sheetViews>
  <sheetFormatPr baseColWidth="10" defaultColWidth="5.7109375" defaultRowHeight="19.5" customHeight="1" outlineLevelRow="1" x14ac:dyDescent="0.25"/>
  <cols>
    <col min="1" max="22" width="5.7109375" style="459"/>
    <col min="23" max="23" width="7.5703125" style="459" bestFit="1" customWidth="1"/>
    <col min="24" max="16384" width="5.7109375" style="459"/>
  </cols>
  <sheetData>
    <row r="1" spans="1:29" ht="19.5" customHeight="1" x14ac:dyDescent="0.25">
      <c r="A1" s="629"/>
      <c r="B1" s="630" t="s">
        <v>487</v>
      </c>
      <c r="C1" s="631"/>
      <c r="D1" s="654" t="s">
        <v>204</v>
      </c>
      <c r="E1" s="631"/>
      <c r="F1" s="631"/>
      <c r="G1" s="630" t="s">
        <v>488</v>
      </c>
      <c r="H1" s="631"/>
      <c r="I1" s="631" t="str">
        <f>Création!G1</f>
        <v>Philippe</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Création!G3</f>
        <v>Rogue</v>
      </c>
      <c r="E2" s="498"/>
      <c r="F2" s="498"/>
      <c r="G2" s="494" t="s">
        <v>26</v>
      </c>
      <c r="H2" s="498"/>
      <c r="I2" s="498" t="str">
        <f>Création!G6</f>
        <v>Cavern Elf</v>
      </c>
      <c r="J2" s="498"/>
      <c r="K2" s="498"/>
      <c r="L2" s="498"/>
      <c r="M2" s="490"/>
      <c r="N2" s="498"/>
      <c r="O2" s="498"/>
      <c r="P2" s="494" t="s">
        <v>42</v>
      </c>
      <c r="Q2" s="498"/>
      <c r="R2" s="498" t="str">
        <f>Création!G7</f>
        <v>Returning Descendant</v>
      </c>
      <c r="S2" s="498"/>
      <c r="T2" s="498"/>
      <c r="U2" s="498"/>
      <c r="V2" s="498"/>
      <c r="W2" s="498"/>
      <c r="X2" s="498"/>
      <c r="Y2" s="498"/>
      <c r="Z2" s="498"/>
      <c r="AA2" s="498"/>
      <c r="AB2" s="437"/>
      <c r="AC2" s="637"/>
    </row>
    <row r="3" spans="1:29" ht="19.5" customHeight="1" x14ac:dyDescent="0.3">
      <c r="A3" s="638"/>
      <c r="B3" s="438" t="s">
        <v>490</v>
      </c>
      <c r="C3" s="439"/>
      <c r="D3" s="440">
        <f>'Dés de vie'!G13</f>
        <v>5</v>
      </c>
      <c r="E3" s="439"/>
      <c r="F3" s="439"/>
      <c r="G3" s="438" t="s">
        <v>205</v>
      </c>
      <c r="H3" s="439"/>
      <c r="I3" s="439" t="str">
        <f>Création!G28</f>
        <v>Medium</v>
      </c>
      <c r="J3" s="439"/>
      <c r="K3" s="438" t="s">
        <v>491</v>
      </c>
      <c r="L3" s="439"/>
      <c r="M3" s="439" t="str">
        <f>Création!G9</f>
        <v>Cayden Cailean</v>
      </c>
      <c r="N3" s="439"/>
      <c r="O3" s="439"/>
      <c r="P3" s="438" t="s">
        <v>159</v>
      </c>
      <c r="Q3" s="439"/>
      <c r="R3" s="439" t="str">
        <f>Création!G8</f>
        <v>NG</v>
      </c>
      <c r="S3" s="439"/>
      <c r="T3" s="439"/>
      <c r="U3" s="439"/>
      <c r="V3" s="441"/>
      <c r="W3" s="441"/>
      <c r="X3" s="441"/>
      <c r="Y3" s="439"/>
      <c r="Z3" s="439"/>
      <c r="AA3" s="439"/>
      <c r="AB3" s="442"/>
      <c r="AC3" s="637"/>
    </row>
    <row r="4" spans="1:29" s="450" customFormat="1" ht="19.5" customHeight="1" x14ac:dyDescent="0.3">
      <c r="A4" s="639"/>
      <c r="B4" s="640" t="s">
        <v>492</v>
      </c>
      <c r="C4" s="640"/>
      <c r="D4" s="640"/>
      <c r="E4" s="640"/>
      <c r="F4" s="640"/>
      <c r="G4" s="640"/>
      <c r="H4" s="640"/>
      <c r="I4" s="1317" t="s">
        <v>493</v>
      </c>
      <c r="J4" s="1317"/>
      <c r="K4" s="640"/>
      <c r="L4" s="640"/>
      <c r="M4" s="641"/>
      <c r="N4" s="641"/>
      <c r="O4" s="641"/>
      <c r="P4" s="640"/>
      <c r="Q4" s="640"/>
      <c r="R4" s="640"/>
      <c r="S4" s="640"/>
      <c r="T4" s="640"/>
      <c r="U4" s="640"/>
      <c r="V4" s="641"/>
      <c r="W4" s="640" t="s">
        <v>494</v>
      </c>
      <c r="X4" s="640"/>
      <c r="Y4" s="640"/>
      <c r="Z4" s="640"/>
      <c r="AA4" s="640"/>
      <c r="AB4" s="640"/>
      <c r="AC4" s="642"/>
    </row>
    <row r="5" spans="1:29" ht="19.5" customHeight="1" x14ac:dyDescent="0.25">
      <c r="A5" s="636"/>
      <c r="B5" s="489" t="s">
        <v>79</v>
      </c>
      <c r="C5" s="489" t="s">
        <v>495</v>
      </c>
      <c r="D5" s="489" t="s">
        <v>496</v>
      </c>
      <c r="E5" s="489" t="s">
        <v>79</v>
      </c>
      <c r="F5" s="489" t="s">
        <v>495</v>
      </c>
      <c r="G5" s="489" t="s">
        <v>496</v>
      </c>
      <c r="H5" s="490"/>
      <c r="I5" s="782">
        <f>'Dés de vie'!G16</f>
        <v>51</v>
      </c>
      <c r="J5" s="1401"/>
      <c r="K5" s="498"/>
      <c r="L5" s="498"/>
      <c r="M5" s="494"/>
      <c r="N5" s="490"/>
      <c r="O5" s="4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Stats!G2</f>
        <v>14</v>
      </c>
      <c r="D6" s="1385">
        <f>Stats!G11</f>
        <v>2</v>
      </c>
      <c r="E6" s="1386" t="s">
        <v>11</v>
      </c>
      <c r="F6" s="1385">
        <f>Stats!G3</f>
        <v>18</v>
      </c>
      <c r="G6" s="1387">
        <f>Stats!G12</f>
        <v>4</v>
      </c>
      <c r="H6" s="490"/>
      <c r="I6" s="640" t="s">
        <v>497</v>
      </c>
      <c r="J6" s="490"/>
      <c r="K6" s="490"/>
      <c r="L6" s="489"/>
      <c r="M6" s="490" t="s">
        <v>644</v>
      </c>
      <c r="N6" s="489"/>
      <c r="O6" s="490"/>
      <c r="P6" s="490"/>
      <c r="Q6" s="489" t="s">
        <v>324</v>
      </c>
      <c r="R6" s="490"/>
      <c r="S6" s="490"/>
      <c r="T6" s="489" t="s">
        <v>342</v>
      </c>
      <c r="U6" s="490"/>
      <c r="V6" s="489" t="s">
        <v>297</v>
      </c>
      <c r="W6" s="1395" t="str">
        <f>Skills!A137</f>
        <v>Simple weapons</v>
      </c>
      <c r="X6" s="1396"/>
      <c r="Y6" s="1396"/>
      <c r="Z6" s="1396"/>
      <c r="AA6" s="731" t="str">
        <f>Skills!G137</f>
        <v>Expert</v>
      </c>
      <c r="AB6" s="1397"/>
      <c r="AC6" s="637"/>
    </row>
    <row r="7" spans="1:29" ht="19.5" customHeight="1" x14ac:dyDescent="0.25">
      <c r="A7" s="643"/>
      <c r="B7" s="1388" t="s">
        <v>8</v>
      </c>
      <c r="C7" s="1389">
        <f>Stats!G4</f>
        <v>12</v>
      </c>
      <c r="D7" s="1389">
        <f>Stats!G13</f>
        <v>1</v>
      </c>
      <c r="E7" s="1368" t="s">
        <v>12</v>
      </c>
      <c r="F7" s="1389">
        <f>Stats!G5</f>
        <v>12</v>
      </c>
      <c r="G7" s="1390">
        <f>Stats!G14</f>
        <v>1</v>
      </c>
      <c r="H7" s="490"/>
      <c r="I7" s="1552" t="str">
        <f>'Equipment Combat'!G343</f>
        <v>23</v>
      </c>
      <c r="J7" s="1553"/>
      <c r="K7" s="1550" t="s">
        <v>498</v>
      </c>
      <c r="L7" s="1550"/>
      <c r="M7" s="1554" t="str">
        <f>IF('Equipment Combat'!G342="",'Equipment Combat'!G341,CONCATENATE("MIN(",'Equipment Combat'!G341,"/",'Equipment Combat'!G342,")"))</f>
        <v>MIN(4/4)</v>
      </c>
      <c r="N7" s="1554"/>
      <c r="O7" s="1320" t="s">
        <v>499</v>
      </c>
      <c r="P7" s="1320">
        <f>'Equipment Combat'!G340</f>
        <v>7</v>
      </c>
      <c r="Q7" s="774" t="str">
        <f>'Equipment Combat'!G338</f>
        <v>Trained</v>
      </c>
      <c r="R7" s="1320"/>
      <c r="S7" s="1320" t="s">
        <v>499</v>
      </c>
      <c r="T7" s="1320">
        <f>'Equipment Combat'!G335+'Equipment Combat'!G336</f>
        <v>2</v>
      </c>
      <c r="U7" s="775" t="s">
        <v>499</v>
      </c>
      <c r="V7" s="776">
        <f>'Equipment Combat'!G339</f>
        <v>0</v>
      </c>
      <c r="W7" s="1398" t="str">
        <f>Skills!A139</f>
        <v>Martial weapons</v>
      </c>
      <c r="X7" s="737"/>
      <c r="Y7" s="1399"/>
      <c r="Z7" s="1399"/>
      <c r="AA7" s="737" t="str">
        <f>Skills!G139</f>
        <v>Untrained</v>
      </c>
      <c r="AB7" s="1343"/>
      <c r="AC7" s="637"/>
    </row>
    <row r="8" spans="1:29" ht="19.5" customHeight="1" x14ac:dyDescent="0.3">
      <c r="A8" s="643"/>
      <c r="B8" s="1391" t="s">
        <v>13</v>
      </c>
      <c r="C8" s="1392">
        <f>Stats!G6</f>
        <v>10</v>
      </c>
      <c r="D8" s="1392">
        <f>Stats!G15</f>
        <v>0</v>
      </c>
      <c r="E8" s="1393" t="s">
        <v>14</v>
      </c>
      <c r="F8" s="1392">
        <f>Stats!G7</f>
        <v>19</v>
      </c>
      <c r="G8" s="1394">
        <f>Stats!G16</f>
        <v>4</v>
      </c>
      <c r="H8" s="490"/>
      <c r="I8" s="640" t="s">
        <v>84</v>
      </c>
      <c r="J8" s="490"/>
      <c r="K8" s="490"/>
      <c r="L8" s="490"/>
      <c r="M8" s="489" t="s">
        <v>324</v>
      </c>
      <c r="N8" s="490"/>
      <c r="O8" s="490"/>
      <c r="P8" s="490"/>
      <c r="Q8" s="489" t="s">
        <v>79</v>
      </c>
      <c r="R8" s="490"/>
      <c r="S8" s="1207" t="s">
        <v>979</v>
      </c>
      <c r="T8" s="1189"/>
      <c r="U8" s="490"/>
      <c r="V8" s="490"/>
      <c r="W8" s="1398" t="str">
        <f>Skills!A141</f>
        <v>Advanced weapons</v>
      </c>
      <c r="X8" s="737"/>
      <c r="Y8" s="1399"/>
      <c r="Z8" s="1399"/>
      <c r="AA8" s="737" t="str">
        <f>Skills!G141</f>
        <v>Untrained</v>
      </c>
      <c r="AB8" s="1343"/>
      <c r="AC8" s="637"/>
    </row>
    <row r="9" spans="1:29" ht="19.5" customHeight="1" x14ac:dyDescent="0.25">
      <c r="A9" s="643"/>
      <c r="B9" s="490"/>
      <c r="C9" s="490"/>
      <c r="D9" s="490"/>
      <c r="E9" s="490"/>
      <c r="F9" s="490"/>
      <c r="G9" s="490"/>
      <c r="H9" s="490"/>
      <c r="I9" s="781">
        <f>Skills!G37</f>
        <v>21</v>
      </c>
      <c r="J9" s="1551" t="s">
        <v>498</v>
      </c>
      <c r="K9" s="1551"/>
      <c r="L9" s="777">
        <f>Skills!G206</f>
        <v>7</v>
      </c>
      <c r="M9" s="778" t="str">
        <f>Skills!G163</f>
        <v>Trained</v>
      </c>
      <c r="N9" s="779"/>
      <c r="O9" s="777" t="s">
        <v>499</v>
      </c>
      <c r="P9" s="777">
        <f>Skills!G70</f>
        <v>4</v>
      </c>
      <c r="Q9" s="780" t="str">
        <f>Skills!G71</f>
        <v>CHA</v>
      </c>
      <c r="R9" s="490"/>
      <c r="S9" s="1562">
        <f>'Status courant'!G6</f>
        <v>1</v>
      </c>
      <c r="T9" s="1563"/>
      <c r="U9" s="1564"/>
      <c r="V9" s="490"/>
      <c r="W9" s="1398" t="str">
        <f>Skills!A143</f>
        <v>Alchemical bombs</v>
      </c>
      <c r="X9" s="737"/>
      <c r="Y9" s="1399"/>
      <c r="Z9" s="1399"/>
      <c r="AA9" s="737" t="str">
        <f>Skills!G143</f>
        <v>Untrained</v>
      </c>
      <c r="AB9" s="1343"/>
      <c r="AC9" s="637"/>
    </row>
    <row r="10" spans="1:29" ht="19.5" customHeight="1" x14ac:dyDescent="0.3">
      <c r="A10" s="643"/>
      <c r="B10" s="640" t="s">
        <v>500</v>
      </c>
      <c r="C10" s="640"/>
      <c r="D10" s="490"/>
      <c r="E10" s="490"/>
      <c r="F10" s="490"/>
      <c r="G10" s="490"/>
      <c r="H10" s="490"/>
      <c r="I10" s="490"/>
      <c r="J10" s="490"/>
      <c r="K10" s="489"/>
      <c r="L10" s="490"/>
      <c r="M10" s="490"/>
      <c r="N10" s="490"/>
      <c r="O10" s="490"/>
      <c r="P10" s="490"/>
      <c r="Q10" s="490"/>
      <c r="R10" s="490"/>
      <c r="S10" s="490"/>
      <c r="T10" s="490"/>
      <c r="U10" s="490"/>
      <c r="V10" s="490"/>
      <c r="W10" s="1398" t="str">
        <f>Skills!A145</f>
        <v>Unarmed attacks</v>
      </c>
      <c r="X10" s="737"/>
      <c r="Y10" s="1399"/>
      <c r="Z10" s="1399"/>
      <c r="AA10" s="737" t="str">
        <f>Skills!G145</f>
        <v>Expert</v>
      </c>
      <c r="AB10" s="1343"/>
      <c r="AC10" s="637"/>
    </row>
    <row r="11" spans="1:29" ht="19.5" customHeight="1" x14ac:dyDescent="0.25">
      <c r="A11" s="643"/>
      <c r="B11" s="490"/>
      <c r="C11" s="489" t="s">
        <v>7</v>
      </c>
      <c r="D11" s="489"/>
      <c r="E11" s="489" t="s">
        <v>79</v>
      </c>
      <c r="F11" s="489"/>
      <c r="G11" s="489"/>
      <c r="H11" s="489" t="s">
        <v>324</v>
      </c>
      <c r="I11" s="489"/>
      <c r="J11" s="489"/>
      <c r="K11" s="489" t="s">
        <v>342</v>
      </c>
      <c r="L11" s="490"/>
      <c r="M11" s="490"/>
      <c r="N11" s="490"/>
      <c r="O11" s="490"/>
      <c r="P11" s="490"/>
      <c r="Q11" s="498" t="s">
        <v>648</v>
      </c>
      <c r="R11" s="490"/>
      <c r="S11" s="490"/>
      <c r="T11" s="490"/>
      <c r="U11" s="490"/>
      <c r="V11" s="490"/>
      <c r="W11" s="1398" t="str">
        <f>IF(Skills!G$148="",Skills!A$147,Skills!G$148)</f>
        <v>Rapier, sap, shortbow &amp; shortsword</v>
      </c>
      <c r="X11" s="737"/>
      <c r="Y11" s="1399"/>
      <c r="Z11" s="1399"/>
      <c r="AA11" s="737" t="str">
        <f>Skills!G147</f>
        <v>Expert</v>
      </c>
      <c r="AB11" s="1343"/>
      <c r="AC11" s="637"/>
    </row>
    <row r="12" spans="1:29" ht="19.5" customHeight="1" x14ac:dyDescent="0.3">
      <c r="A12" s="643"/>
      <c r="B12" s="1368" t="s">
        <v>501</v>
      </c>
      <c r="C12" s="1369">
        <f>Skills!G4</f>
        <v>8</v>
      </c>
      <c r="D12" s="1370" t="s">
        <v>502</v>
      </c>
      <c r="E12" s="1371">
        <f>Skills!G45</f>
        <v>1</v>
      </c>
      <c r="F12" s="1370" t="s">
        <v>499</v>
      </c>
      <c r="G12" s="1371">
        <f>Skills!G172</f>
        <v>7</v>
      </c>
      <c r="H12" s="1372" t="str">
        <f>Skills!G78</f>
        <v>Trained</v>
      </c>
      <c r="I12" s="1372"/>
      <c r="J12" s="1370" t="s">
        <v>499</v>
      </c>
      <c r="K12" s="1373"/>
      <c r="L12" s="490"/>
      <c r="M12" s="640" t="s">
        <v>206</v>
      </c>
      <c r="N12" s="490"/>
      <c r="O12" s="490"/>
      <c r="P12" s="490"/>
      <c r="Q12" s="1384" t="s">
        <v>504</v>
      </c>
      <c r="R12" s="1402"/>
      <c r="S12" s="1407">
        <f>C15</f>
        <v>9</v>
      </c>
      <c r="T12" s="490"/>
      <c r="U12" s="490"/>
      <c r="V12" s="490"/>
      <c r="W12" s="1398" t="str">
        <f>IF(Skills!G$150="","",Skills!G$151)</f>
        <v/>
      </c>
      <c r="X12" s="737"/>
      <c r="Y12" s="1399"/>
      <c r="Z12" s="1399"/>
      <c r="AA12" s="737" t="str">
        <f>IF(Skills!G$150="","",Skills!G$150)</f>
        <v/>
      </c>
      <c r="AB12" s="1343"/>
      <c r="AC12" s="637"/>
    </row>
    <row r="13" spans="1:29" ht="19.5" customHeight="1" x14ac:dyDescent="0.25">
      <c r="A13" s="643"/>
      <c r="B13" s="1368" t="s">
        <v>528</v>
      </c>
      <c r="C13" s="1374">
        <f>Skills!G5</f>
        <v>13</v>
      </c>
      <c r="D13" s="1375" t="s">
        <v>502</v>
      </c>
      <c r="E13" s="1376">
        <f>Skills!G46</f>
        <v>4</v>
      </c>
      <c r="F13" s="1375" t="s">
        <v>499</v>
      </c>
      <c r="G13" s="1376">
        <f>Skills!G173</f>
        <v>9</v>
      </c>
      <c r="H13" s="1377" t="str">
        <f>Skills!G80</f>
        <v>Expert</v>
      </c>
      <c r="I13" s="1377"/>
      <c r="J13" s="1375" t="s">
        <v>499</v>
      </c>
      <c r="K13" s="1378"/>
      <c r="L13" s="490"/>
      <c r="M13" s="721" t="str">
        <f>Skills!G309&amp;"'"</f>
        <v>30'</v>
      </c>
      <c r="N13" s="490"/>
      <c r="O13" s="490"/>
      <c r="P13" s="490"/>
      <c r="Q13" s="1403" t="s">
        <v>23</v>
      </c>
      <c r="R13" s="1404"/>
      <c r="S13" s="1408">
        <f>R29</f>
        <v>11</v>
      </c>
      <c r="T13" s="490"/>
      <c r="U13" s="490"/>
      <c r="V13" s="490"/>
      <c r="W13" s="1398" t="str">
        <f>Skills!A154</f>
        <v>Light armor</v>
      </c>
      <c r="X13" s="737"/>
      <c r="Y13" s="1399"/>
      <c r="Z13" s="1399"/>
      <c r="AA13" s="737" t="str">
        <f>Skills!G154</f>
        <v>Trained</v>
      </c>
      <c r="AB13" s="1343"/>
      <c r="AC13" s="637"/>
    </row>
    <row r="14" spans="1:29" ht="19.5" customHeight="1" x14ac:dyDescent="0.3">
      <c r="A14" s="643"/>
      <c r="B14" s="1368" t="s">
        <v>503</v>
      </c>
      <c r="C14" s="1374">
        <f>Skills!G6</f>
        <v>9</v>
      </c>
      <c r="D14" s="1375" t="s">
        <v>502</v>
      </c>
      <c r="E14" s="1376">
        <f>Skills!G47</f>
        <v>0</v>
      </c>
      <c r="F14" s="1375" t="s">
        <v>499</v>
      </c>
      <c r="G14" s="1376">
        <f>Skills!G174</f>
        <v>9</v>
      </c>
      <c r="H14" s="1377" t="str">
        <f>Skills!G82</f>
        <v>Expert</v>
      </c>
      <c r="I14" s="1377"/>
      <c r="J14" s="1375" t="s">
        <v>499</v>
      </c>
      <c r="K14" s="1378"/>
      <c r="L14" s="490"/>
      <c r="M14" s="490"/>
      <c r="N14" s="644"/>
      <c r="O14" s="644"/>
      <c r="P14" s="490"/>
      <c r="Q14" s="1403" t="s">
        <v>54</v>
      </c>
      <c r="R14" s="1404"/>
      <c r="S14" s="1408">
        <f>D30</f>
        <v>13</v>
      </c>
      <c r="T14" s="490"/>
      <c r="U14" s="454"/>
      <c r="V14" s="454"/>
      <c r="W14" s="1398" t="str">
        <f>Skills!A156</f>
        <v>Medium armor</v>
      </c>
      <c r="X14" s="737"/>
      <c r="Y14" s="737"/>
      <c r="Z14" s="737"/>
      <c r="AA14" s="737" t="str">
        <f>Skills!G156</f>
        <v>Untrained</v>
      </c>
      <c r="AB14" s="1343"/>
      <c r="AC14" s="637"/>
    </row>
    <row r="15" spans="1:29" ht="19.5" customHeight="1" x14ac:dyDescent="0.3">
      <c r="A15" s="643"/>
      <c r="B15" s="1368" t="s">
        <v>504</v>
      </c>
      <c r="C15" s="1379">
        <f>Skills!G2</f>
        <v>9</v>
      </c>
      <c r="D15" s="1380" t="s">
        <v>502</v>
      </c>
      <c r="E15" s="1381">
        <f>Skills!G42</f>
        <v>0</v>
      </c>
      <c r="F15" s="1380" t="s">
        <v>499</v>
      </c>
      <c r="G15" s="1381">
        <f>Skills!G171</f>
        <v>9</v>
      </c>
      <c r="H15" s="1382" t="str">
        <f>Skills!G75</f>
        <v>Expert</v>
      </c>
      <c r="I15" s="1382"/>
      <c r="J15" s="1380" t="s">
        <v>499</v>
      </c>
      <c r="K15" s="1383"/>
      <c r="L15" s="498" t="str">
        <f>CONCATENATE(" &lt;&lt; ",Feats!G6)</f>
        <v xml:space="preserve"> &lt;&lt; Darkvision</v>
      </c>
      <c r="M15" s="644"/>
      <c r="N15" s="644"/>
      <c r="O15" s="644"/>
      <c r="P15" s="490"/>
      <c r="Q15" s="1405" t="s">
        <v>21</v>
      </c>
      <c r="R15" s="1406"/>
      <c r="S15" s="1409">
        <f>D31</f>
        <v>13</v>
      </c>
      <c r="T15" s="454"/>
      <c r="U15" s="454"/>
      <c r="V15" s="454"/>
      <c r="W15" s="1398" t="str">
        <f>Skills!A158</f>
        <v>Heavy armor</v>
      </c>
      <c r="X15" s="737"/>
      <c r="Y15" s="737"/>
      <c r="Z15" s="737"/>
      <c r="AA15" s="737" t="str">
        <f>Skills!G158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Skills!G163</f>
        <v>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s="627" customFormat="1" ht="19.5" customHeight="1" x14ac:dyDescent="0.25">
      <c r="A18" s="643"/>
      <c r="B18" s="764" t="str">
        <f>'Equipment Combat'!G349</f>
        <v>+1 Striking Rapier</v>
      </c>
      <c r="C18" s="765"/>
      <c r="D18" s="765"/>
      <c r="E18" s="1559" t="str">
        <f>'Equipment Combat'!G364</f>
        <v>14/9/4</v>
      </c>
      <c r="F18" s="1559"/>
      <c r="G18" s="748" t="str">
        <f>"= "&amp;'Equipment Combat'!G367</f>
        <v>= 4</v>
      </c>
      <c r="H18" s="747" t="str">
        <f>'Equipment Combat'!G365</f>
        <v>STR/DEX</v>
      </c>
      <c r="I18" s="747"/>
      <c r="J18" s="748" t="str">
        <f>"+ "&amp;'Equipment Combat'!G368</f>
        <v>+ 9</v>
      </c>
      <c r="K18" s="747" t="str">
        <f>'Equipment Combat'!G366</f>
        <v>Expert</v>
      </c>
      <c r="L18" s="747"/>
      <c r="M18" s="1350">
        <f>'Equipment Combat'!G369</f>
        <v>1</v>
      </c>
      <c r="N18" s="457" t="s">
        <v>505</v>
      </c>
      <c r="O18" s="1560" t="str">
        <f>CONCATENATE('Equipment Combat'!G375,'Equipment Combat'!G357)</f>
        <v>2d6</v>
      </c>
      <c r="P18" s="1561"/>
      <c r="Q18" s="1321" t="str">
        <f>"+"&amp;'Equipment Combat'!G374</f>
        <v>+2</v>
      </c>
      <c r="R18" s="752" t="str">
        <f>'Equipment Combat'!G373</f>
        <v>STR</v>
      </c>
      <c r="S18" s="1351" t="str">
        <f>'Equipment Combat'!G358</f>
        <v>Piercing</v>
      </c>
      <c r="T18" s="1352" t="str">
        <f>'Equipment Combat'!G363</f>
        <v>Sword</v>
      </c>
      <c r="U18" s="1353"/>
      <c r="V18" s="1352" t="str">
        <f>'Equipment Combat'!G351&amp;IF('Equipment Combat'!G352="-","",", "&amp;'Equipment Combat'!G352)&amp;IF('Equipment Combat'!G353="-","",", "&amp;'Equipment Combat'!G353)&amp;IF('Equipment Combat'!G354="-","",", "&amp;'Equipment Combat'!G354)&amp;IF('Equipment Combat'!G355="-","",", "&amp;'Equipment Combat'!G355)&amp;IF('Equipment Combat'!G360="-","",", "&amp;'Equipment Combat'!G360)&amp;IF('Equipment Combat'!G361="-","",", "&amp;'Equipment Combat'!G361)</f>
        <v>Specific 1, Deadly d8, Disarm, Finesse</v>
      </c>
      <c r="W18" s="1354"/>
      <c r="X18" s="1354"/>
      <c r="Y18" s="1354"/>
      <c r="Z18" s="1354"/>
      <c r="AA18" s="1354"/>
      <c r="AB18" s="1353"/>
      <c r="AC18" s="637"/>
    </row>
    <row r="19" spans="1:29" s="627" customFormat="1" ht="19.5" customHeight="1" x14ac:dyDescent="0.25">
      <c r="A19" s="643"/>
      <c r="B19" s="766" t="str">
        <f>'Equipment Combat'!G376</f>
        <v>+1 Dagger</v>
      </c>
      <c r="C19" s="767"/>
      <c r="D19" s="767"/>
      <c r="E19" s="1534" t="str">
        <f>'Equipment Combat'!G391</f>
        <v>14/10/6</v>
      </c>
      <c r="F19" s="1534"/>
      <c r="G19" s="750" t="str">
        <f>"= "&amp;'Equipment Combat'!G394</f>
        <v>= 4</v>
      </c>
      <c r="H19" s="749" t="str">
        <f>'Equipment Combat'!G392</f>
        <v>STR/DEX</v>
      </c>
      <c r="I19" s="749"/>
      <c r="J19" s="750" t="str">
        <f>"+ "&amp;'Equipment Combat'!G395</f>
        <v>+ 9</v>
      </c>
      <c r="K19" s="749" t="str">
        <f>'Equipment Combat'!G393</f>
        <v>Expert</v>
      </c>
      <c r="L19" s="749"/>
      <c r="M19" s="1355">
        <f>'Equipment Combat'!G396</f>
        <v>1</v>
      </c>
      <c r="N19" s="457" t="s">
        <v>505</v>
      </c>
      <c r="O19" s="1540" t="str">
        <f>CONCATENATE('Equipment Combat'!G402,'Equipment Combat'!G384)</f>
        <v>1d4</v>
      </c>
      <c r="P19" s="1541"/>
      <c r="Q19" s="1318" t="str">
        <f>"+"&amp;'Equipment Combat'!G401</f>
        <v>+2</v>
      </c>
      <c r="R19" s="753" t="str">
        <f>'Equipment Combat'!G400</f>
        <v>STR</v>
      </c>
      <c r="S19" s="1356" t="str">
        <f>'Equipment Combat'!G385</f>
        <v>Piercing</v>
      </c>
      <c r="T19" s="1357" t="str">
        <f>'Equipment Combat'!G390</f>
        <v>Knife</v>
      </c>
      <c r="U19" s="1358"/>
      <c r="V19" s="1357" t="str">
        <f>'Equipment Combat'!G378&amp;IF('Equipment Combat'!G379="-","",", "&amp;'Equipment Combat'!G379)&amp;IF('Equipment Combat'!G380="-","",", "&amp;'Equipment Combat'!G380)&amp;IF('Equipment Combat'!G381="-","",", "&amp;'Equipment Combat'!G381)&amp;IF('Equipment Combat'!G382="-","",", "&amp;'Equipment Combat'!G382)&amp;IF('Equipment Combat'!G387="-","",", "&amp;'Equipment Combat'!G387)&amp;IF('Equipment Combat'!G388="-","",", "&amp;'Equipment Combat'!G388)</f>
        <v>Simple, Agile, Finesse, Thrown 10', Versatile S</v>
      </c>
      <c r="W19" s="1359"/>
      <c r="X19" s="1359"/>
      <c r="Y19" s="1359"/>
      <c r="Z19" s="1359"/>
      <c r="AA19" s="1359"/>
      <c r="AB19" s="1358"/>
      <c r="AC19" s="637"/>
    </row>
    <row r="20" spans="1:29" s="627" customFormat="1" ht="19.5" customHeight="1" x14ac:dyDescent="0.25">
      <c r="A20" s="643"/>
      <c r="B20" s="766" t="str">
        <f>'Equipment Combat'!G403</f>
        <v>Silver Light Mace</v>
      </c>
      <c r="C20" s="767"/>
      <c r="D20" s="767"/>
      <c r="E20" s="1534" t="str">
        <f>'Equipment Combat'!G418</f>
        <v>13/9/5</v>
      </c>
      <c r="F20" s="1534"/>
      <c r="G20" s="750" t="str">
        <f>"= "&amp;'Equipment Combat'!G421</f>
        <v>= 4</v>
      </c>
      <c r="H20" s="749" t="str">
        <f>'Equipment Combat'!G419</f>
        <v>STR/DEX</v>
      </c>
      <c r="I20" s="749"/>
      <c r="J20" s="750" t="str">
        <f>"+ "&amp;'Equipment Combat'!G422</f>
        <v>+ 9</v>
      </c>
      <c r="K20" s="749" t="str">
        <f>'Equipment Combat'!G420</f>
        <v>Expert</v>
      </c>
      <c r="L20" s="749"/>
      <c r="M20" s="1355">
        <f>'Equipment Combat'!G423</f>
        <v>0</v>
      </c>
      <c r="N20" s="457" t="s">
        <v>505</v>
      </c>
      <c r="O20" s="1540" t="str">
        <f>CONCATENATE('Equipment Combat'!G429,'Equipment Combat'!G411)</f>
        <v>1d4</v>
      </c>
      <c r="P20" s="1541"/>
      <c r="Q20" s="1318" t="str">
        <f>"+"&amp;'Equipment Combat'!G428</f>
        <v>+2</v>
      </c>
      <c r="R20" s="753" t="str">
        <f>'Equipment Combat'!G427</f>
        <v>STR</v>
      </c>
      <c r="S20" s="1356" t="str">
        <f>'Equipment Combat'!G412</f>
        <v>Bludgeoning</v>
      </c>
      <c r="T20" s="1357" t="str">
        <f>'Equipment Combat'!G417</f>
        <v>Club</v>
      </c>
      <c r="U20" s="1358"/>
      <c r="V20" s="1357" t="str">
        <f>'Equipment Combat'!G405&amp;IF('Equipment Combat'!G406="-","",", "&amp;'Equipment Combat'!G406)&amp;IF('Equipment Combat'!G407="-","",", "&amp;'Equipment Combat'!G407)&amp;IF('Equipment Combat'!G408="-","",", "&amp;'Equipment Combat'!G408)&amp;IF('Equipment Combat'!G409="-","",", "&amp;'Equipment Combat'!G409)&amp;IF('Equipment Combat'!G414="-","",", "&amp;'Equipment Combat'!G414)&amp;IF('Equipment Combat'!G415="-","",", "&amp;'Equipment Combat'!G415)</f>
        <v>Simple, Agile, Finesse, Shove</v>
      </c>
      <c r="W20" s="1359"/>
      <c r="X20" s="1359"/>
      <c r="Y20" s="1359"/>
      <c r="Z20" s="1359"/>
      <c r="AA20" s="1359"/>
      <c r="AB20" s="1358"/>
      <c r="AC20" s="637"/>
    </row>
    <row r="21" spans="1:29" s="627" customFormat="1" ht="19.5" customHeight="1" x14ac:dyDescent="0.25">
      <c r="A21" s="643"/>
      <c r="B21" s="766" t="str">
        <f>'Equipment Combat'!G430</f>
        <v>Fist</v>
      </c>
      <c r="C21" s="767"/>
      <c r="D21" s="767"/>
      <c r="E21" s="1534" t="str">
        <f>'Equipment Combat'!G445</f>
        <v>13/9/5</v>
      </c>
      <c r="F21" s="1534"/>
      <c r="G21" s="750" t="str">
        <f>"= "&amp;'Equipment Combat'!G448</f>
        <v>= 4</v>
      </c>
      <c r="H21" s="749" t="str">
        <f>'Equipment Combat'!G446</f>
        <v>STR/DEX</v>
      </c>
      <c r="I21" s="749"/>
      <c r="J21" s="750" t="str">
        <f>"+ "&amp;'Equipment Combat'!G449</f>
        <v>+ 9</v>
      </c>
      <c r="K21" s="749" t="str">
        <f>'Equipment Combat'!G447</f>
        <v>Expert</v>
      </c>
      <c r="L21" s="749"/>
      <c r="M21" s="1355">
        <f>'Equipment Combat'!G450</f>
        <v>0</v>
      </c>
      <c r="N21" s="457" t="s">
        <v>505</v>
      </c>
      <c r="O21" s="1540" t="str">
        <f>CONCATENATE('Equipment Combat'!G456,'Equipment Combat'!G438)</f>
        <v>1d4</v>
      </c>
      <c r="P21" s="1541"/>
      <c r="Q21" s="1318" t="str">
        <f>"+"&amp;'Equipment Combat'!G455</f>
        <v>+2</v>
      </c>
      <c r="R21" s="753" t="str">
        <f>'Equipment Combat'!G454</f>
        <v>STR</v>
      </c>
      <c r="S21" s="1356" t="str">
        <f>'Equipment Combat'!G439</f>
        <v>Bludgeoning</v>
      </c>
      <c r="T21" s="1357" t="str">
        <f>'Equipment Combat'!G444</f>
        <v>Brawling</v>
      </c>
      <c r="U21" s="1358"/>
      <c r="V21" s="1357" t="str">
        <f>'Equipment Combat'!G432&amp;IF('Equipment Combat'!G433="-","",", "&amp;'Equipment Combat'!G433)&amp;IF('Equipment Combat'!G434="-","",", "&amp;'Equipment Combat'!G434)&amp;IF('Equipment Combat'!G435="-","",", "&amp;'Equipment Combat'!G435)&amp;IF('Equipment Combat'!G436="-","",", "&amp;'Equipment Combat'!G436)&amp;IF('Equipment Combat'!G441="-","",", "&amp;'Equipment Combat'!G441)&amp;IF('Equipment Combat'!G442="-","",", "&amp;'Equipment Combat'!G442)</f>
        <v>Unarmed, Agile, Finesse, Nonlethal</v>
      </c>
      <c r="W21" s="1359"/>
      <c r="X21" s="1359"/>
      <c r="Y21" s="1359"/>
      <c r="Z21" s="1359"/>
      <c r="AA21" s="1359"/>
      <c r="AB21" s="1358"/>
      <c r="AC21" s="637"/>
    </row>
    <row r="22" spans="1:29" s="627" customFormat="1" ht="19.5" hidden="1" customHeight="1" outlineLevel="1" x14ac:dyDescent="0.25">
      <c r="A22" s="643"/>
      <c r="B22" s="766" t="str">
        <f>'Equipment Combat'!G457</f>
        <v xml:space="preserve">  </v>
      </c>
      <c r="C22" s="767"/>
      <c r="D22" s="767"/>
      <c r="E22" s="1534">
        <f>'Equipment Combat'!G472</f>
        <v>0</v>
      </c>
      <c r="F22" s="1534"/>
      <c r="G22" s="750" t="str">
        <f>"= "&amp;'Equipment Combat'!G475</f>
        <v xml:space="preserve">=   </v>
      </c>
      <c r="H22" s="749" t="str">
        <f>'Equipment Combat'!G473</f>
        <v xml:space="preserve">  </v>
      </c>
      <c r="I22" s="749"/>
      <c r="J22" s="750" t="str">
        <f>"+ "&amp;'Equipment Combat'!G476</f>
        <v xml:space="preserve">+   </v>
      </c>
      <c r="K22" s="749" t="str">
        <f>'Equipment Combat'!G474</f>
        <v xml:space="preserve">  </v>
      </c>
      <c r="L22" s="749"/>
      <c r="M22" s="1355" t="str">
        <f>'Equipment Combat'!G477</f>
        <v xml:space="preserve">  </v>
      </c>
      <c r="N22" s="457" t="s">
        <v>505</v>
      </c>
      <c r="O22" s="1540" t="str">
        <f>CONCATENATE('Equipment Combat'!G483,'Equipment Combat'!G465)</f>
        <v xml:space="preserve">    </v>
      </c>
      <c r="P22" s="1541"/>
      <c r="Q22" s="1318" t="str">
        <f>"+"&amp;'Equipment Combat'!G482</f>
        <v xml:space="preserve">+  </v>
      </c>
      <c r="R22" s="753" t="str">
        <f>'Equipment Combat'!G481</f>
        <v xml:space="preserve">  </v>
      </c>
      <c r="S22" s="1356" t="str">
        <f>'Equipment Combat'!G466</f>
        <v>-</v>
      </c>
      <c r="T22" s="1357" t="str">
        <f>'Equipment Combat'!G471</f>
        <v>-</v>
      </c>
      <c r="U22" s="1358"/>
      <c r="V22" s="1357" t="str">
        <f>'Equipment Combat'!G459&amp;IF('Equipment Combat'!G460="-","",", "&amp;'Equipment Combat'!G460)&amp;IF('Equipment Combat'!G461="-","",", "&amp;'Equipment Combat'!G461)&amp;IF('Equipment Combat'!G462="-","",", "&amp;'Equipment Combat'!G462)&amp;IF('Equipment Combat'!G463="-","",", "&amp;'Equipment Combat'!G463)&amp;IF('Equipment Combat'!G468="-","",", "&amp;'Equipment Combat'!G468)&amp;IF('Equipment Combat'!G469="-","",", "&amp;'Equipment Combat'!G469)</f>
        <v>-</v>
      </c>
      <c r="W22" s="1359"/>
      <c r="X22" s="1359"/>
      <c r="Y22" s="1359"/>
      <c r="Z22" s="1359"/>
      <c r="AA22" s="1359"/>
      <c r="AB22" s="1358"/>
      <c r="AC22" s="637"/>
    </row>
    <row r="23" spans="1:29" s="627" customFormat="1" ht="19.5" hidden="1" customHeight="1" outlineLevel="1" x14ac:dyDescent="0.25">
      <c r="A23" s="643"/>
      <c r="B23" s="1360" t="str">
        <f>'Equipment Combat'!G484</f>
        <v xml:space="preserve">  </v>
      </c>
      <c r="C23" s="1361"/>
      <c r="D23" s="1361"/>
      <c r="E23" s="1535">
        <f>'Equipment Combat'!G499</f>
        <v>0</v>
      </c>
      <c r="F23" s="1535"/>
      <c r="G23" s="751" t="str">
        <f>"= "&amp;'Equipment Combat'!G502</f>
        <v xml:space="preserve">=   </v>
      </c>
      <c r="H23" s="1362" t="str">
        <f>'Equipment Combat'!G500</f>
        <v xml:space="preserve">  </v>
      </c>
      <c r="I23" s="918"/>
      <c r="J23" s="751" t="str">
        <f>"+ "&amp;'Equipment Combat'!G503</f>
        <v xml:space="preserve">+   </v>
      </c>
      <c r="K23" s="918" t="str">
        <f>'Equipment Combat'!G501</f>
        <v xml:space="preserve">  </v>
      </c>
      <c r="L23" s="918"/>
      <c r="M23" s="1363" t="str">
        <f>'Equipment Combat'!G504</f>
        <v xml:space="preserve">  </v>
      </c>
      <c r="N23" s="457" t="s">
        <v>505</v>
      </c>
      <c r="O23" s="1542" t="str">
        <f>CONCATENATE('Equipment Combat'!G510,'Equipment Combat'!G492)</f>
        <v xml:space="preserve">    </v>
      </c>
      <c r="P23" s="1543"/>
      <c r="Q23" s="1319" t="str">
        <f>"+"&amp;'Equipment Combat'!G509</f>
        <v xml:space="preserve">+  </v>
      </c>
      <c r="R23" s="917" t="str">
        <f>'Equipment Combat'!G508</f>
        <v xml:space="preserve">  </v>
      </c>
      <c r="S23" s="1364" t="str">
        <f>'Equipment Combat'!G493</f>
        <v>-</v>
      </c>
      <c r="T23" s="1365" t="str">
        <f>'Equipment Combat'!G498</f>
        <v>-</v>
      </c>
      <c r="U23" s="1366"/>
      <c r="V23" s="1365" t="str">
        <f>'Equipment Combat'!G486&amp;IF('Equipment Combat'!G487="-","",", "&amp;'Equipment Combat'!G487)&amp;IF('Equipment Combat'!G488="-","",", "&amp;'Equipment Combat'!G488)&amp;IF('Equipment Combat'!G489="-","",", "&amp;'Equipment Combat'!G489)&amp;IF('Equipment Combat'!G490="-","",", "&amp;'Equipment Combat'!G490)&amp;IF('Equipment Combat'!G495="-","",", "&amp;'Equipment Combat'!G495)&amp;IF('Equipment Combat'!G496="-","",", "&amp;'Equipment Combat'!G496)</f>
        <v>-</v>
      </c>
      <c r="W23" s="1367"/>
      <c r="X23" s="1367"/>
      <c r="Y23" s="1367"/>
      <c r="Z23" s="1367"/>
      <c r="AA23" s="1367"/>
      <c r="AB23" s="1366"/>
      <c r="AC23" s="637"/>
    </row>
    <row r="24" spans="1:29" s="450" customFormat="1" ht="19.5" customHeight="1" collapsed="1" x14ac:dyDescent="0.3">
      <c r="A24" s="648"/>
      <c r="B24" s="640" t="s">
        <v>19</v>
      </c>
      <c r="C24" s="640"/>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490"/>
      <c r="P25" s="490"/>
      <c r="Q25" s="490"/>
      <c r="R25" s="489" t="s">
        <v>7</v>
      </c>
      <c r="S25" s="490"/>
      <c r="T25" s="489" t="s">
        <v>79</v>
      </c>
      <c r="U25" s="490"/>
      <c r="V25" s="490"/>
      <c r="W25" s="489" t="s">
        <v>324</v>
      </c>
      <c r="X25" s="490"/>
      <c r="Y25" s="490"/>
      <c r="Z25" s="489" t="s">
        <v>342</v>
      </c>
      <c r="AA25" s="490"/>
      <c r="AB25" s="489" t="s">
        <v>301</v>
      </c>
      <c r="AC25" s="637"/>
    </row>
    <row r="26" spans="1:29" ht="19.5" customHeight="1" x14ac:dyDescent="0.25">
      <c r="A26" s="643"/>
      <c r="B26" s="754" t="s">
        <v>20</v>
      </c>
      <c r="C26" s="755"/>
      <c r="D26" s="756">
        <f>Skills!G8</f>
        <v>13</v>
      </c>
      <c r="E26" s="732" t="s">
        <v>502</v>
      </c>
      <c r="F26" s="733">
        <f>Skills!G49</f>
        <v>4</v>
      </c>
      <c r="G26" s="733" t="s">
        <v>499</v>
      </c>
      <c r="H26" s="1339">
        <f>Skills!G175</f>
        <v>9</v>
      </c>
      <c r="I26" s="731" t="str">
        <f>Skills!G96</f>
        <v>Expert</v>
      </c>
      <c r="J26" s="731"/>
      <c r="K26" s="734" t="s">
        <v>499</v>
      </c>
      <c r="L26" s="734"/>
      <c r="M26" s="734" t="s">
        <v>499</v>
      </c>
      <c r="N26" s="735">
        <f>Skills!G277</f>
        <v>0</v>
      </c>
      <c r="O26" s="754" t="s">
        <v>60</v>
      </c>
      <c r="P26" s="755"/>
      <c r="Q26" s="1340"/>
      <c r="R26" s="756">
        <f>Skills!G25</f>
        <v>11</v>
      </c>
      <c r="S26" s="732" t="s">
        <v>502</v>
      </c>
      <c r="T26" s="733">
        <f>Skills!G63</f>
        <v>4</v>
      </c>
      <c r="U26" s="733" t="s">
        <v>499</v>
      </c>
      <c r="V26" s="733">
        <f>Skills!G189</f>
        <v>7</v>
      </c>
      <c r="W26" s="731" t="str">
        <f>Skills!G124</f>
        <v>Trained</v>
      </c>
      <c r="X26" s="731"/>
      <c r="Y26" s="734" t="s">
        <v>499</v>
      </c>
      <c r="Z26" s="734"/>
      <c r="AA26" s="734" t="s">
        <v>499</v>
      </c>
      <c r="AB26" s="736"/>
      <c r="AC26" s="637"/>
    </row>
    <row r="27" spans="1:29" ht="19.5" customHeight="1" x14ac:dyDescent="0.25">
      <c r="A27" s="643"/>
      <c r="B27" s="757" t="s">
        <v>51</v>
      </c>
      <c r="C27" s="758"/>
      <c r="D27" s="759">
        <f>Skills!G9</f>
        <v>1</v>
      </c>
      <c r="E27" s="738" t="s">
        <v>502</v>
      </c>
      <c r="F27" s="739">
        <f>Skills!G50</f>
        <v>1</v>
      </c>
      <c r="G27" s="739" t="s">
        <v>499</v>
      </c>
      <c r="H27" s="1341">
        <f>Skills!G176</f>
        <v>0</v>
      </c>
      <c r="I27" s="737" t="str">
        <f>Skills!G98</f>
        <v>Untrained</v>
      </c>
      <c r="J27" s="737"/>
      <c r="K27" s="740" t="s">
        <v>499</v>
      </c>
      <c r="L27" s="740"/>
      <c r="M27" s="740" t="s">
        <v>499</v>
      </c>
      <c r="N27" s="741"/>
      <c r="O27" s="757" t="s">
        <v>61</v>
      </c>
      <c r="P27" s="758"/>
      <c r="Q27" s="1342"/>
      <c r="R27" s="759">
        <f>Skills!G26</f>
        <v>0</v>
      </c>
      <c r="S27" s="738" t="s">
        <v>502</v>
      </c>
      <c r="T27" s="739">
        <f>Skills!G64</f>
        <v>0</v>
      </c>
      <c r="U27" s="739" t="s">
        <v>499</v>
      </c>
      <c r="V27" s="739">
        <f>Skills!G190</f>
        <v>0</v>
      </c>
      <c r="W27" s="737" t="str">
        <f>Skills!G126</f>
        <v>Untrained</v>
      </c>
      <c r="X27" s="737"/>
      <c r="Y27" s="740" t="s">
        <v>499</v>
      </c>
      <c r="Z27" s="740"/>
      <c r="AA27" s="740" t="s">
        <v>499</v>
      </c>
      <c r="AB27" s="741"/>
      <c r="AC27" s="637"/>
    </row>
    <row r="28" spans="1:29" ht="19.5" customHeight="1" x14ac:dyDescent="0.25">
      <c r="A28" s="643"/>
      <c r="B28" s="757" t="s">
        <v>52</v>
      </c>
      <c r="C28" s="758"/>
      <c r="D28" s="759">
        <f>Skills!G10</f>
        <v>11</v>
      </c>
      <c r="E28" s="738" t="s">
        <v>502</v>
      </c>
      <c r="F28" s="739">
        <f>Skills!G51</f>
        <v>2</v>
      </c>
      <c r="G28" s="739" t="s">
        <v>499</v>
      </c>
      <c r="H28" s="1341">
        <f>Skills!G177</f>
        <v>9</v>
      </c>
      <c r="I28" s="737" t="str">
        <f>Skills!G100</f>
        <v>Expert</v>
      </c>
      <c r="J28" s="737"/>
      <c r="K28" s="740" t="s">
        <v>499</v>
      </c>
      <c r="L28" s="740"/>
      <c r="M28" s="740" t="s">
        <v>499</v>
      </c>
      <c r="N28" s="742">
        <f>Skills!G278</f>
        <v>0</v>
      </c>
      <c r="O28" s="757" t="s">
        <v>62</v>
      </c>
      <c r="P28" s="758"/>
      <c r="Q28" s="758"/>
      <c r="R28" s="759">
        <f>Skills!G27</f>
        <v>8</v>
      </c>
      <c r="S28" s="738" t="s">
        <v>502</v>
      </c>
      <c r="T28" s="739">
        <f>Skills!G65</f>
        <v>1</v>
      </c>
      <c r="U28" s="739" t="s">
        <v>499</v>
      </c>
      <c r="V28" s="739">
        <f>Skills!G191</f>
        <v>7</v>
      </c>
      <c r="W28" s="737" t="str">
        <f>Skills!G128</f>
        <v>Trained</v>
      </c>
      <c r="X28" s="737"/>
      <c r="Y28" s="740" t="s">
        <v>499</v>
      </c>
      <c r="Z28" s="740"/>
      <c r="AA28" s="740" t="s">
        <v>499</v>
      </c>
      <c r="AB28" s="741"/>
      <c r="AC28" s="637"/>
    </row>
    <row r="29" spans="1:29" ht="19.5" customHeight="1" x14ac:dyDescent="0.25">
      <c r="A29" s="643"/>
      <c r="B29" s="757" t="s">
        <v>53</v>
      </c>
      <c r="C29" s="758"/>
      <c r="D29" s="759">
        <f>Skills!G11</f>
        <v>8</v>
      </c>
      <c r="E29" s="738" t="s">
        <v>502</v>
      </c>
      <c r="F29" s="739">
        <f>Skills!G52</f>
        <v>1</v>
      </c>
      <c r="G29" s="739" t="s">
        <v>499</v>
      </c>
      <c r="H29" s="1341">
        <f>Skills!G178</f>
        <v>7</v>
      </c>
      <c r="I29" s="737" t="str">
        <f>Skills!G102</f>
        <v>Trained</v>
      </c>
      <c r="J29" s="737"/>
      <c r="K29" s="740" t="s">
        <v>499</v>
      </c>
      <c r="L29" s="740"/>
      <c r="M29" s="740" t="s">
        <v>499</v>
      </c>
      <c r="N29" s="741"/>
      <c r="O29" s="757" t="s">
        <v>23</v>
      </c>
      <c r="P29" s="758"/>
      <c r="Q29" s="1342"/>
      <c r="R29" s="759">
        <f>Skills!G28</f>
        <v>11</v>
      </c>
      <c r="S29" s="738" t="s">
        <v>502</v>
      </c>
      <c r="T29" s="739">
        <f>Skills!G66</f>
        <v>4</v>
      </c>
      <c r="U29" s="739" t="s">
        <v>499</v>
      </c>
      <c r="V29" s="739">
        <f>Skills!G192</f>
        <v>7</v>
      </c>
      <c r="W29" s="737" t="str">
        <f>Skills!G130</f>
        <v>Trained</v>
      </c>
      <c r="X29" s="737"/>
      <c r="Y29" s="740" t="s">
        <v>499</v>
      </c>
      <c r="Z29" s="740"/>
      <c r="AA29" s="740" t="s">
        <v>499</v>
      </c>
      <c r="AB29" s="742">
        <f>Skills!G279</f>
        <v>0</v>
      </c>
      <c r="AC29" s="637"/>
    </row>
    <row r="30" spans="1:29" ht="19.5" customHeight="1" x14ac:dyDescent="0.25">
      <c r="A30" s="643"/>
      <c r="B30" s="757" t="s">
        <v>54</v>
      </c>
      <c r="C30" s="758"/>
      <c r="D30" s="759">
        <f>Skills!G12</f>
        <v>13</v>
      </c>
      <c r="E30" s="738" t="s">
        <v>502</v>
      </c>
      <c r="F30" s="739">
        <f>Skills!G53</f>
        <v>4</v>
      </c>
      <c r="G30" s="739" t="s">
        <v>499</v>
      </c>
      <c r="H30" s="1341">
        <f>Skills!G179</f>
        <v>9</v>
      </c>
      <c r="I30" s="737" t="str">
        <f>Skills!G104</f>
        <v>Expert</v>
      </c>
      <c r="J30" s="737"/>
      <c r="K30" s="740" t="s">
        <v>499</v>
      </c>
      <c r="L30" s="740"/>
      <c r="M30" s="740" t="s">
        <v>499</v>
      </c>
      <c r="N30" s="741"/>
      <c r="O30" s="757" t="s">
        <v>24</v>
      </c>
      <c r="P30" s="758"/>
      <c r="Q30" s="1342"/>
      <c r="R30" s="759">
        <f>Skills!G29</f>
        <v>7</v>
      </c>
      <c r="S30" s="738" t="s">
        <v>502</v>
      </c>
      <c r="T30" s="739">
        <f>Skills!G67</f>
        <v>0</v>
      </c>
      <c r="U30" s="739" t="s">
        <v>499</v>
      </c>
      <c r="V30" s="739">
        <f>Skills!G193</f>
        <v>7</v>
      </c>
      <c r="W30" s="737" t="str">
        <f>Skills!G132</f>
        <v>Trained</v>
      </c>
      <c r="X30" s="737"/>
      <c r="Y30" s="740" t="s">
        <v>499</v>
      </c>
      <c r="Z30" s="740"/>
      <c r="AA30" s="740" t="s">
        <v>499</v>
      </c>
      <c r="AB30" s="741"/>
      <c r="AC30" s="637"/>
    </row>
    <row r="31" spans="1:29" ht="19.5" customHeight="1" x14ac:dyDescent="0.25">
      <c r="A31" s="643"/>
      <c r="B31" s="757" t="s">
        <v>21</v>
      </c>
      <c r="C31" s="758"/>
      <c r="D31" s="759">
        <f>Skills!G13</f>
        <v>13</v>
      </c>
      <c r="E31" s="738" t="s">
        <v>502</v>
      </c>
      <c r="F31" s="739">
        <f>Skills!G54</f>
        <v>4</v>
      </c>
      <c r="G31" s="739" t="s">
        <v>499</v>
      </c>
      <c r="H31" s="1341">
        <f>Skills!G180</f>
        <v>9</v>
      </c>
      <c r="I31" s="737" t="str">
        <f>Skills!G106</f>
        <v>Expert</v>
      </c>
      <c r="J31" s="737"/>
      <c r="K31" s="740" t="s">
        <v>499</v>
      </c>
      <c r="L31" s="740"/>
      <c r="M31" s="740" t="s">
        <v>499</v>
      </c>
      <c r="N31" s="741"/>
      <c r="O31" s="757" t="s">
        <v>63</v>
      </c>
      <c r="P31" s="758"/>
      <c r="Q31" s="1342"/>
      <c r="R31" s="759">
        <f>Skills!G30</f>
        <v>11</v>
      </c>
      <c r="S31" s="738" t="s">
        <v>502</v>
      </c>
      <c r="T31" s="739">
        <f>Skills!G68</f>
        <v>4</v>
      </c>
      <c r="U31" s="739" t="s">
        <v>499</v>
      </c>
      <c r="V31" s="739">
        <f>Skills!G194</f>
        <v>7</v>
      </c>
      <c r="W31" s="737" t="str">
        <f>Skills!G134</f>
        <v>Trained</v>
      </c>
      <c r="X31" s="737"/>
      <c r="Y31" s="740" t="s">
        <v>499</v>
      </c>
      <c r="Z31" s="740"/>
      <c r="AA31" s="740" t="s">
        <v>499</v>
      </c>
      <c r="AB31" s="742">
        <f>Skills!G280</f>
        <v>0</v>
      </c>
      <c r="AC31" s="637"/>
    </row>
    <row r="32" spans="1:29" ht="19.5" customHeight="1" x14ac:dyDescent="0.25">
      <c r="A32" s="643"/>
      <c r="B32" s="757" t="s">
        <v>55</v>
      </c>
      <c r="C32" s="758"/>
      <c r="D32" s="759">
        <f>Skills!G14</f>
        <v>11</v>
      </c>
      <c r="E32" s="738" t="s">
        <v>502</v>
      </c>
      <c r="F32" s="739">
        <f>Skills!G55</f>
        <v>4</v>
      </c>
      <c r="G32" s="739" t="s">
        <v>499</v>
      </c>
      <c r="H32" s="1341">
        <f>Skills!G181</f>
        <v>7</v>
      </c>
      <c r="I32" s="737" t="str">
        <f>Skills!G108</f>
        <v>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",Skills!G17)</f>
        <v>&gt; Engineering</v>
      </c>
      <c r="C33" s="758"/>
      <c r="D33" s="759">
        <f>Skills!G16</f>
        <v>8</v>
      </c>
      <c r="E33" s="738" t="s">
        <v>502</v>
      </c>
      <c r="F33" s="739">
        <f>Skills!G57</f>
        <v>1</v>
      </c>
      <c r="G33" s="739" t="s">
        <v>499</v>
      </c>
      <c r="H33" s="1341">
        <f>Skills!G183</f>
        <v>7</v>
      </c>
      <c r="I33" s="737" t="str">
        <f>Skills!G112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hidden="1" customHeight="1" outlineLevel="1" x14ac:dyDescent="0.25">
      <c r="A34" s="643"/>
      <c r="B34" s="1140" t="str">
        <f>IF(Skills!G19="","",CONCATENATE("&gt; ",Skills!G19))</f>
        <v/>
      </c>
      <c r="C34" s="758"/>
      <c r="D34" s="759" t="str">
        <f>IF(Skills!G19="","",Skills!G18)</f>
        <v/>
      </c>
      <c r="E34" s="738" t="s">
        <v>502</v>
      </c>
      <c r="F34" s="739" t="str">
        <f>IF(Skills!G19="","",Skills!G57)</f>
        <v/>
      </c>
      <c r="G34" s="739" t="s">
        <v>499</v>
      </c>
      <c r="H34" s="1341">
        <f>Skills!G184</f>
        <v>0</v>
      </c>
      <c r="I34" s="737" t="str">
        <f>Skills!G114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collapsed="1" x14ac:dyDescent="0.25">
      <c r="A35" s="643"/>
      <c r="B35" s="760" t="s">
        <v>57</v>
      </c>
      <c r="C35" s="758"/>
      <c r="D35" s="759">
        <f>Skills!G22</f>
        <v>0</v>
      </c>
      <c r="E35" s="738" t="s">
        <v>502</v>
      </c>
      <c r="F35" s="739">
        <f>Skills!G60</f>
        <v>0</v>
      </c>
      <c r="G35" s="739" t="s">
        <v>499</v>
      </c>
      <c r="H35" s="1341">
        <f>Skills!G186</f>
        <v>0</v>
      </c>
      <c r="I35" s="737" t="str">
        <f>Skills!G118</f>
        <v>Untrained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Skills!G23</f>
        <v>0</v>
      </c>
      <c r="E36" s="738" t="s">
        <v>502</v>
      </c>
      <c r="F36" s="739">
        <f>Skills!G61</f>
        <v>0</v>
      </c>
      <c r="G36" s="739" t="s">
        <v>499</v>
      </c>
      <c r="H36" s="1341">
        <f>Skills!G187</f>
        <v>0</v>
      </c>
      <c r="I36" s="737" t="str">
        <f>Skills!G120</f>
        <v>Untrained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Skills!G24</f>
        <v>8</v>
      </c>
      <c r="E37" s="743" t="s">
        <v>502</v>
      </c>
      <c r="F37" s="744">
        <f>Skills!G62</f>
        <v>1</v>
      </c>
      <c r="G37" s="744" t="s">
        <v>499</v>
      </c>
      <c r="H37" s="1344">
        <f>Skills!G188</f>
        <v>7</v>
      </c>
      <c r="I37" s="1345" t="str">
        <f>Skills!G122</f>
        <v>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Combat'!G512="","",'Equipment Combat'!G512&amp;" -&gt; Trigger : "&amp;'Equipment Combat'!G513&amp;"; Effect : "&amp;'Equipment Combat'!G514&amp;IF('Equipment Combat'!G515="",""," - "&amp;'Equipment Combat'!G515))</f>
        <v>Weapon tricks -&gt; Trigger : Critical success on Strike vs flat-footed creature; Effect : Critical specialization effect - [Agile/Finesse simple or specific weapon]</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hidden="1" customHeight="1" outlineLevel="1" x14ac:dyDescent="0.25">
      <c r="A40" s="646"/>
      <c r="B40" s="725" t="str">
        <f>IF('Equipment Combat'!G516="","",'Equipment Combat'!G516&amp;" -&gt; Trigger : "&amp;'Equipment Combat'!G517&amp;"; Effect : "&amp;'Equipment Combat'!G518&amp;IF('Equipment Combat'!G519="",""," - "&amp;'Equipment Combat'!G519))</f>
        <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hidden="1" customHeight="1" outlineLevel="1" x14ac:dyDescent="0.25">
      <c r="A41" s="646"/>
      <c r="B41" s="725" t="str">
        <f>IF('Equipment Combat'!G520="","",'Equipment Combat'!G520&amp;" -&gt; Trigger : "&amp;'Equipment Combat'!G521&amp;"; Effect : "&amp;'Equipment Combat'!G522&amp;IF('Equipment Combat'!G523="",""," - "&amp;'Equipment Combat'!G523))</f>
        <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Combat'!G524="","",'Equipment Combat'!G524&amp;" -&gt; Trigger : "&amp;'Equipment Combat'!G525&amp;"; Effect : "&amp;'Equipment Combat'!G526&amp;IF('Equipment Combat'!G527="",""," - "&amp;'Equipment Combat'!G527))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Combat'!G528="","",'Equipment Combat'!G528&amp;" -&gt; Trigger : "&amp;'Equipment Combat'!G529&amp;"; Effect : "&amp;'Equipment Combat'!G530&amp;IF('Equipment Combat'!G531="",""," - "&amp;'Equipment Combat'!G531))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s="627" customFormat="1"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s="627" customFormat="1" ht="19.5" customHeight="1" x14ac:dyDescent="0.25">
      <c r="A48" s="656"/>
      <c r="B48" s="1328" t="str">
        <f>IF('Equipment Combat'!G7="","",'Equipment Combat'!G7&amp;" ("&amp;'Equipment Combat'!G114&amp;")")</f>
        <v>Backpack (Back)</v>
      </c>
      <c r="C48" s="1329"/>
      <c r="D48" s="1329"/>
      <c r="E48" s="1330"/>
      <c r="F48" s="1331"/>
      <c r="G48" s="714">
        <f>IF('Equipment Combat'!G60="","",'Equipment Combat'!G60)</f>
        <v>1</v>
      </c>
      <c r="H48" s="715" t="str">
        <f>IF('Equipment Combat'!G114="Stowed","["&amp;IF('Equipment Combat'!#REF!&lt;0.1,"",IF('Equipment Combat'!#REF!&lt;1,INT(10*'Equipment Combat'!#REF!)&amp;"L",INT('Equipment Combat'!#REF!)&amp;"B"))&amp;"]",IF('Equipment Combat'!G277&lt;0.1,"",IF('Equipment Combat'!G277&lt;1,INT(10*'Equipment Combat'!G277)&amp;"L",INT('Equipment Combat'!G277)&amp;"B")))</f>
        <v>1B</v>
      </c>
      <c r="I48" s="1328" t="str">
        <f>IF('Equipment Combat'!G20="","",'Equipment Combat'!G20&amp;" ("&amp;'Equipment Combat'!G127&amp;")")</f>
        <v>Climbing kit (Stowed)</v>
      </c>
      <c r="J48" s="1329"/>
      <c r="K48" s="1330"/>
      <c r="L48" s="1331"/>
      <c r="M48" s="1329"/>
      <c r="N48" s="714">
        <f>IF('Equipment Combat'!G73="","",'Equipment Combat'!G73)</f>
        <v>1</v>
      </c>
      <c r="O48" s="715" t="str">
        <f>IF('Equipment Combat'!G127="Stowed","["&amp;IF('Equipment Combat'!G234&lt;0.1,"",IF('Equipment Combat'!G234&lt;1,INT(10*'Equipment Combat'!G234)&amp;"L",INT('Equipment Combat'!G234)&amp;"B"))&amp;"]",IF('Equipment Combat'!G290&lt;0.1,"",IF('Equipment Combat'!G290&lt;1,INT(10*'Equipment Combat'!G290)&amp;"L",INT('Equipment Combat'!G290)&amp;"B")))</f>
        <v>[1B]</v>
      </c>
      <c r="P48" s="1328" t="str">
        <f>IF('Equipment Combat'!G33="","",'Equipment Combat'!G33&amp;" ("&amp;'Equipment Combat'!G140&amp;")")</f>
        <v/>
      </c>
      <c r="Q48" s="1329"/>
      <c r="R48" s="1330"/>
      <c r="S48" s="1331"/>
      <c r="T48" s="1329"/>
      <c r="U48" s="714" t="str">
        <f>IF('Equipment Combat'!G86="","",'Equipment Combat'!G86)</f>
        <v/>
      </c>
      <c r="V48" s="715" t="str">
        <f>IF('Equipment Combat'!G140="Stowed","["&amp;IF('Equipment Combat'!G247&lt;0.1,"",IF('Equipment Combat'!G247&lt;1,INT(10*'Equipment Combat'!G247)&amp;"L",INT('Equipment Combat'!G247)&amp;"B"))&amp;"]",IF('Equipment Combat'!G303&lt;0.1,"",IF('Equipment Combat'!G303&lt;1,INT(10*'Equipment Combat'!G303)&amp;"L",INT('Equipment Combat'!G303)&amp;"B")))</f>
        <v/>
      </c>
      <c r="W48" s="1328" t="str">
        <f>IF('Equipment Combat'!G46="","",'Equipment Combat'!G46&amp;" ("&amp;'Equipment Combat'!G153&amp;")")</f>
        <v/>
      </c>
      <c r="X48" s="1329"/>
      <c r="Y48" s="1331"/>
      <c r="Z48" s="1329"/>
      <c r="AA48" s="714" t="str">
        <f>IF('Equipment Combat'!G99="","",'Equipment Combat'!G99)</f>
        <v/>
      </c>
      <c r="AB48" s="715" t="str">
        <f>IF('Equipment Combat'!G153="Stowed","["&amp;IF('Equipment Combat'!G260&lt;0.1,"",IF('Equipment Combat'!G260&lt;1,INT(10*'Equipment Combat'!G260)&amp;"L",INT('Equipment Combat'!G260)&amp;"B"))&amp;"]",IF('Equipment Combat'!G316&lt;0.1,"",IF('Equipment Combat'!G316&lt;1,INT(10*'Equipment Combat'!G316)&amp;"L",INT('Equipment Combat'!G316)&amp;"B")))</f>
        <v/>
      </c>
      <c r="AC48" s="637"/>
    </row>
    <row r="49" spans="1:29" s="627" customFormat="1" ht="19.5" customHeight="1" x14ac:dyDescent="0.25">
      <c r="A49" s="656"/>
      <c r="B49" s="1332" t="str">
        <f>IF('Equipment Combat'!G8="","",'Equipment Combat'!G8&amp;" ("&amp;'Equipment Combat'!G115&amp;")")</f>
        <v>Bedroll (Stowed)</v>
      </c>
      <c r="C49" s="1333"/>
      <c r="D49" s="1333"/>
      <c r="E49" s="1334"/>
      <c r="F49" s="1335"/>
      <c r="G49" s="716">
        <f>IF('Equipment Combat'!G61="","",'Equipment Combat'!G61)</f>
        <v>1</v>
      </c>
      <c r="H49" s="717" t="str">
        <f>IF('Equipment Combat'!G115="Stowed","["&amp;IF('Equipment Combat'!G222&lt;0.1,"",IF('Equipment Combat'!G222&lt;1,INT(10*'Equipment Combat'!G222)&amp;"L",INT('Equipment Combat'!G222)&amp;"B"))&amp;"]",IF('Equipment Combat'!G278&lt;0.1,"",IF('Equipment Combat'!G278&lt;1,INT(10*'Equipment Combat'!G278)&amp;"L",INT('Equipment Combat'!G278)&amp;"B")))</f>
        <v>[1L]</v>
      </c>
      <c r="I49" s="1332" t="str">
        <f>IF('Equipment Combat'!G21="","",'Equipment Combat'!G21&amp;" ("&amp;'Equipment Combat'!G128&amp;")")</f>
        <v>Thieves' tools (Worn)</v>
      </c>
      <c r="J49" s="1333"/>
      <c r="K49" s="1334"/>
      <c r="L49" s="1335"/>
      <c r="M49" s="1333"/>
      <c r="N49" s="716">
        <f>IF('Equipment Combat'!G74="","",'Equipment Combat'!G74)</f>
        <v>1</v>
      </c>
      <c r="O49" s="717" t="str">
        <f>IF('Equipment Combat'!G128="Stowed","["&amp;IF('Equipment Combat'!G235&lt;0.1,"",IF('Equipment Combat'!G235&lt;1,INT(10*'Equipment Combat'!G235)&amp;"L",INT('Equipment Combat'!G235)&amp;"B"))&amp;"]",IF('Equipment Combat'!G291&lt;0.1,"",IF('Equipment Combat'!G291&lt;1,INT(10*'Equipment Combat'!G291)&amp;"L",INT('Equipment Combat'!G291)&amp;"B")))</f>
        <v>1L</v>
      </c>
      <c r="P49" s="1332" t="str">
        <f>IF('Equipment Combat'!G34="","",'Equipment Combat'!G34&amp;" ("&amp;'Equipment Combat'!G141&amp;")")</f>
        <v/>
      </c>
      <c r="Q49" s="1333"/>
      <c r="R49" s="1334"/>
      <c r="S49" s="1335"/>
      <c r="T49" s="1333"/>
      <c r="U49" s="716" t="str">
        <f>IF('Equipment Combat'!G87="","",'Equipment Combat'!G87)</f>
        <v/>
      </c>
      <c r="V49" s="717" t="str">
        <f>IF('Equipment Combat'!G141="Stowed","["&amp;IF('Equipment Combat'!G248&lt;0.1,"",IF('Equipment Combat'!G248&lt;1,INT(10*'Equipment Combat'!G248)&amp;"L",INT('Equipment Combat'!G248)&amp;"B"))&amp;"]",IF('Equipment Combat'!G304&lt;0.1,"",IF('Equipment Combat'!G304&lt;1,INT(10*'Equipment Combat'!G304)&amp;"L",INT('Equipment Combat'!G304)&amp;"B")))</f>
        <v/>
      </c>
      <c r="W49" s="1332" t="str">
        <f>IF('Equipment Combat'!G47="","",'Equipment Combat'!G47&amp;" ("&amp;'Equipment Combat'!G154&amp;")")</f>
        <v/>
      </c>
      <c r="X49" s="1333"/>
      <c r="Y49" s="1335"/>
      <c r="Z49" s="1333"/>
      <c r="AA49" s="716" t="str">
        <f>IF('Equipment Combat'!G100="","",'Equipment Combat'!G100)</f>
        <v/>
      </c>
      <c r="AB49" s="717" t="str">
        <f>IF('Equipment Combat'!G154="Stowed","["&amp;IF('Equipment Combat'!G261&lt;0.1,"",IF('Equipment Combat'!G261&lt;1,INT(10*'Equipment Combat'!G261)&amp;"L",INT('Equipment Combat'!G261)&amp;"B"))&amp;"]",IF('Equipment Combat'!G317&lt;0.1,"",IF('Equipment Combat'!G317&lt;1,INT(10*'Equipment Combat'!G317)&amp;"L",INT('Equipment Combat'!G317)&amp;"B")))</f>
        <v/>
      </c>
      <c r="AC49" s="637"/>
    </row>
    <row r="50" spans="1:29" s="627" customFormat="1" ht="19.5" customHeight="1" x14ac:dyDescent="0.25">
      <c r="A50" s="656"/>
      <c r="B50" s="1332" t="str">
        <f>IF('Equipment Combat'!G9="","",'Equipment Combat'!G9&amp;" ("&amp;'Equipment Combat'!G116&amp;")")</f>
        <v>Chalk (Stowed)</v>
      </c>
      <c r="C50" s="1333"/>
      <c r="D50" s="1333"/>
      <c r="E50" s="1334"/>
      <c r="F50" s="1335"/>
      <c r="G50" s="716">
        <f>IF('Equipment Combat'!G62="","",'Equipment Combat'!G62)</f>
        <v>10</v>
      </c>
      <c r="H50" s="717" t="str">
        <f>IF('Equipment Combat'!G116="Stowed","["&amp;IF('Equipment Combat'!G223&lt;0.1,"",IF('Equipment Combat'!G223&lt;1,INT(10*'Equipment Combat'!G223)&amp;"L",INT('Equipment Combat'!G223)&amp;"B"))&amp;"]",IF('Equipment Combat'!G279&lt;0.1,"",IF('Equipment Combat'!G279&lt;1,INT(10*'Equipment Combat'!G279)&amp;"L",INT('Equipment Combat'!G279)&amp;"B")))</f>
        <v>[]</v>
      </c>
      <c r="I50" s="1332" t="str">
        <f>IF('Equipment Combat'!G22="","",'Equipment Combat'!G22&amp;" ("&amp;'Equipment Combat'!G129&amp;")")</f>
        <v>Jade Cat (Worn)</v>
      </c>
      <c r="J50" s="1333"/>
      <c r="K50" s="1334"/>
      <c r="L50" s="1335"/>
      <c r="M50" s="1333"/>
      <c r="N50" s="716">
        <f>IF('Equipment Combat'!G75="","",'Equipment Combat'!G75)</f>
        <v>1</v>
      </c>
      <c r="O50" s="717" t="str">
        <f>IF('Equipment Combat'!G129="Stowed","["&amp;IF('Equipment Combat'!G236&lt;0.1,"",IF('Equipment Combat'!G236&lt;1,INT(10*'Equipment Combat'!G236)&amp;"L",INT('Equipment Combat'!G236)&amp;"B"))&amp;"]",IF('Equipment Combat'!G292&lt;0.1,"",IF('Equipment Combat'!G292&lt;1,INT(10*'Equipment Combat'!G292)&amp;"L",INT('Equipment Combat'!G292)&amp;"B")))</f>
        <v/>
      </c>
      <c r="P50" s="1332" t="str">
        <f>IF('Equipment Combat'!G35="","",'Equipment Combat'!G35&amp;" ("&amp;'Equipment Combat'!G142&amp;")")</f>
        <v/>
      </c>
      <c r="Q50" s="1333"/>
      <c r="R50" s="1334"/>
      <c r="S50" s="1335"/>
      <c r="T50" s="1333"/>
      <c r="U50" s="716" t="str">
        <f>IF('Equipment Combat'!G88="","",'Equipment Combat'!G88)</f>
        <v/>
      </c>
      <c r="V50" s="717" t="str">
        <f>IF('Equipment Combat'!G142="Stowed","["&amp;IF('Equipment Combat'!G249&lt;0.1,"",IF('Equipment Combat'!G249&lt;1,INT(10*'Equipment Combat'!G249)&amp;"L",INT('Equipment Combat'!G249)&amp;"B"))&amp;"]",IF('Equipment Combat'!G305&lt;0.1,"",IF('Equipment Combat'!G305&lt;1,INT(10*'Equipment Combat'!G305)&amp;"L",INT('Equipment Combat'!G305)&amp;"B")))</f>
        <v/>
      </c>
      <c r="W50" s="1332" t="str">
        <f>IF('Equipment Combat'!G48="","",'Equipment Combat'!G48&amp;" ("&amp;'Equipment Combat'!G155&amp;")")</f>
        <v/>
      </c>
      <c r="X50" s="1333"/>
      <c r="Y50" s="1335"/>
      <c r="Z50" s="1333"/>
      <c r="AA50" s="716" t="str">
        <f>IF('Equipment Combat'!G101="","",'Equipment Combat'!G101)</f>
        <v/>
      </c>
      <c r="AB50" s="717" t="str">
        <f>IF('Equipment Combat'!G155="Stowed","["&amp;IF('Equipment Combat'!G262&lt;0.1,"",IF('Equipment Combat'!G262&lt;1,INT(10*'Equipment Combat'!G262)&amp;"L",INT('Equipment Combat'!G262)&amp;"B"))&amp;"]",IF('Equipment Combat'!G318&lt;0.1,"",IF('Equipment Combat'!G318&lt;1,INT(10*'Equipment Combat'!G318)&amp;"L",INT('Equipment Combat'!G318)&amp;"B")))</f>
        <v/>
      </c>
      <c r="AC50" s="637"/>
    </row>
    <row r="51" spans="1:29" s="627" customFormat="1" ht="19.5" customHeight="1" x14ac:dyDescent="0.25">
      <c r="A51" s="656"/>
      <c r="B51" s="1332" t="str">
        <f>IF('Equipment Combat'!G10="","",'Equipment Combat'!G10&amp;" ("&amp;'Equipment Combat'!G117&amp;")")</f>
        <v>Flint and Steel (Stowed)</v>
      </c>
      <c r="C51" s="1333"/>
      <c r="D51" s="1333"/>
      <c r="E51" s="1334"/>
      <c r="F51" s="1335"/>
      <c r="G51" s="716">
        <f>IF('Equipment Combat'!G63="","",'Equipment Combat'!G63)</f>
        <v>1</v>
      </c>
      <c r="H51" s="717" t="str">
        <f>IF('Equipment Combat'!G117="Stowed","["&amp;IF('Equipment Combat'!G224&lt;0.1,"",IF('Equipment Combat'!G224&lt;1,INT(10*'Equipment Combat'!G224)&amp;"L",INT('Equipment Combat'!G224)&amp;"B"))&amp;"]",IF('Equipment Combat'!G280&lt;0.1,"",IF('Equipment Combat'!G280&lt;1,INT(10*'Equipment Combat'!G280)&amp;"L",INT('Equipment Combat'!G280)&amp;"B")))</f>
        <v>[]</v>
      </c>
      <c r="I51" s="1332" t="str">
        <f>IF('Equipment Combat'!G23="","",'Equipment Combat'!G23&amp;" ("&amp;'Equipment Combat'!G130&amp;")")</f>
        <v>Thieves' Tools (Replacement Picks) (Stowed)</v>
      </c>
      <c r="J51" s="1333"/>
      <c r="K51" s="1334"/>
      <c r="L51" s="1335"/>
      <c r="M51" s="1333"/>
      <c r="N51" s="716">
        <f>IF('Equipment Combat'!G76="","",'Equipment Combat'!G76)</f>
        <v>3</v>
      </c>
      <c r="O51" s="717" t="str">
        <f>IF('Equipment Combat'!G130="Stowed","["&amp;IF('Equipment Combat'!G237&lt;0.1,"",IF('Equipment Combat'!G237&lt;1,INT(10*'Equipment Combat'!G237)&amp;"L",INT('Equipment Combat'!G237)&amp;"B"))&amp;"]",IF('Equipment Combat'!G293&lt;0.1,"",IF('Equipment Combat'!G293&lt;1,INT(10*'Equipment Combat'!G293)&amp;"L",INT('Equipment Combat'!G293)&amp;"B")))</f>
        <v>[]</v>
      </c>
      <c r="P51" s="1332" t="str">
        <f>IF('Equipment Combat'!G36="","",'Equipment Combat'!G36&amp;" ("&amp;'Equipment Combat'!G143&amp;")")</f>
        <v/>
      </c>
      <c r="Q51" s="1333"/>
      <c r="R51" s="1334"/>
      <c r="S51" s="1335"/>
      <c r="T51" s="1333"/>
      <c r="U51" s="716" t="str">
        <f>IF('Equipment Combat'!G89="","",'Equipment Combat'!G89)</f>
        <v/>
      </c>
      <c r="V51" s="717" t="str">
        <f>IF('Equipment Combat'!G143="Stowed","["&amp;IF('Equipment Combat'!G250&lt;0.1,"",IF('Equipment Combat'!G250&lt;1,INT(10*'Equipment Combat'!G250)&amp;"L",INT('Equipment Combat'!G250)&amp;"B"))&amp;"]",IF('Equipment Combat'!G306&lt;0.1,"",IF('Equipment Combat'!G306&lt;1,INT(10*'Equipment Combat'!G306)&amp;"L",INT('Equipment Combat'!G306)&amp;"B")))</f>
        <v/>
      </c>
      <c r="W51" s="1332" t="str">
        <f>IF('Equipment Combat'!G49="","",'Equipment Combat'!G49&amp;" ("&amp;'Equipment Combat'!G156&amp;")")</f>
        <v/>
      </c>
      <c r="X51" s="1333"/>
      <c r="Y51" s="1335"/>
      <c r="Z51" s="1333"/>
      <c r="AA51" s="716" t="str">
        <f>IF('Equipment Combat'!G102="","",'Equipment Combat'!G102)</f>
        <v/>
      </c>
      <c r="AB51" s="717" t="str">
        <f>IF('Equipment Combat'!G156="Stowed","["&amp;IF('Equipment Combat'!G263&lt;0.1,"",IF('Equipment Combat'!G263&lt;1,INT(10*'Equipment Combat'!G263)&amp;"L",INT('Equipment Combat'!G263)&amp;"B"))&amp;"]",IF('Equipment Combat'!G319&lt;0.1,"",IF('Equipment Combat'!G319&lt;1,INT(10*'Equipment Combat'!G319)&amp;"L",INT('Equipment Combat'!G319)&amp;"B")))</f>
        <v/>
      </c>
      <c r="AC51" s="637"/>
    </row>
    <row r="52" spans="1:29" s="627" customFormat="1" ht="19.5" customHeight="1" x14ac:dyDescent="0.25">
      <c r="A52" s="656"/>
      <c r="B52" s="1332" t="str">
        <f>IF('Equipment Combat'!G11="","",'Equipment Combat'!G11&amp;" ("&amp;'Equipment Combat'!G118&amp;")")</f>
        <v>Rations (day) (Stowed)</v>
      </c>
      <c r="C52" s="1333"/>
      <c r="D52" s="1333"/>
      <c r="E52" s="1334"/>
      <c r="F52" s="1335"/>
      <c r="G52" s="716">
        <f>IF('Equipment Combat'!G64="","",'Equipment Combat'!G64)</f>
        <v>28</v>
      </c>
      <c r="H52" s="717" t="str">
        <f>IF('Equipment Combat'!G118="Stowed","["&amp;IF('Equipment Combat'!G225&lt;0.1,"",IF('Equipment Combat'!G225&lt;1,INT(10*'Equipment Combat'!G225)&amp;"L",INT('Equipment Combat'!G225)&amp;"B"))&amp;"]",IF('Equipment Combat'!G281&lt;0.1,"",IF('Equipment Combat'!G281&lt;1,INT(10*'Equipment Combat'!G281)&amp;"L",INT('Equipment Combat'!G281)&amp;"B")))</f>
        <v>[4L]</v>
      </c>
      <c r="I52" s="1332" t="str">
        <f>IF('Equipment Combat'!G24="","",'Equipment Combat'!G24&amp;" ("&amp;'Equipment Combat'!G131&amp;")")</f>
        <v>Rapier (1d6) (Stowed)</v>
      </c>
      <c r="J52" s="1333"/>
      <c r="K52" s="1334"/>
      <c r="L52" s="1335"/>
      <c r="M52" s="1333"/>
      <c r="N52" s="716">
        <f>IF('Equipment Combat'!G77="","",'Equipment Combat'!G77)</f>
        <v>1</v>
      </c>
      <c r="O52" s="717" t="str">
        <f>IF('Equipment Combat'!G131="Stowed","["&amp;IF('Equipment Combat'!G238&lt;0.1,"",IF('Equipment Combat'!G238&lt;1,INT(10*'Equipment Combat'!G238)&amp;"L",INT('Equipment Combat'!G238)&amp;"B"))&amp;"]",IF('Equipment Combat'!G294&lt;0.1,"",IF('Equipment Combat'!G294&lt;1,INT(10*'Equipment Combat'!G294)&amp;"L",INT('Equipment Combat'!G294)&amp;"B")))</f>
        <v>[1B]</v>
      </c>
      <c r="P52" s="1332" t="str">
        <f>IF('Equipment Combat'!G37="","",'Equipment Combat'!G37&amp;" ("&amp;'Equipment Combat'!G144&amp;")")</f>
        <v/>
      </c>
      <c r="Q52" s="1333"/>
      <c r="R52" s="1334"/>
      <c r="S52" s="1335"/>
      <c r="T52" s="1333"/>
      <c r="U52" s="716" t="str">
        <f>IF('Equipment Combat'!G90="","",'Equipment Combat'!G90)</f>
        <v/>
      </c>
      <c r="V52" s="717" t="str">
        <f>IF('Equipment Combat'!G144="Stowed","["&amp;IF('Equipment Combat'!G251&lt;0.1,"",IF('Equipment Combat'!G251&lt;1,INT(10*'Equipment Combat'!G251)&amp;"L",INT('Equipment Combat'!G251)&amp;"B"))&amp;"]",IF('Equipment Combat'!G307&lt;0.1,"",IF('Equipment Combat'!G307&lt;1,INT(10*'Equipment Combat'!G307)&amp;"L",INT('Equipment Combat'!G307)&amp;"B")))</f>
        <v/>
      </c>
      <c r="W52" s="1332" t="str">
        <f>IF('Equipment Combat'!G50="","",'Equipment Combat'!G50&amp;" ("&amp;'Equipment Combat'!G157&amp;")")</f>
        <v/>
      </c>
      <c r="X52" s="1333"/>
      <c r="Y52" s="1335"/>
      <c r="Z52" s="1333"/>
      <c r="AA52" s="716" t="str">
        <f>IF('Equipment Combat'!G103="","",'Equipment Combat'!G103)</f>
        <v/>
      </c>
      <c r="AB52" s="717" t="str">
        <f>IF('Equipment Combat'!G157="Stowed","["&amp;IF('Equipment Combat'!G264&lt;0.1,"",IF('Equipment Combat'!G264&lt;1,INT(10*'Equipment Combat'!G264)&amp;"L",INT('Equipment Combat'!G264)&amp;"B"))&amp;"]",IF('Equipment Combat'!G320&lt;0.1,"",IF('Equipment Combat'!G320&lt;1,INT(10*'Equipment Combat'!G320)&amp;"L",INT('Equipment Combat'!G320)&amp;"B")))</f>
        <v/>
      </c>
      <c r="AC52" s="637"/>
    </row>
    <row r="53" spans="1:29" s="627" customFormat="1" ht="19.5" customHeight="1" x14ac:dyDescent="0.25">
      <c r="A53" s="656"/>
      <c r="B53" s="1332" t="str">
        <f>IF('Equipment Combat'!G12="","",'Equipment Combat'!G12&amp;" ("&amp;'Equipment Combat'!G119&amp;")")</f>
        <v>Rope 50' (Stowed)</v>
      </c>
      <c r="C53" s="1333"/>
      <c r="D53" s="1333"/>
      <c r="E53" s="1334"/>
      <c r="F53" s="1335"/>
      <c r="G53" s="716">
        <f>IF('Equipment Combat'!G65="","",'Equipment Combat'!G65)</f>
        <v>1</v>
      </c>
      <c r="H53" s="717" t="str">
        <f>IF('Equipment Combat'!G119="Stowed","["&amp;IF('Equipment Combat'!G226&lt;0.1,"",IF('Equipment Combat'!G226&lt;1,INT(10*'Equipment Combat'!G226)&amp;"L",INT('Equipment Combat'!G226)&amp;"B"))&amp;"]",IF('Equipment Combat'!G282&lt;0.1,"",IF('Equipment Combat'!G282&lt;1,INT(10*'Equipment Combat'!G282)&amp;"L",INT('Equipment Combat'!G282)&amp;"B")))</f>
        <v>[1L]</v>
      </c>
      <c r="I53" s="1332" t="str">
        <f>IF('Equipment Combat'!G25="","",'Equipment Combat'!G25&amp;" ("&amp;'Equipment Combat'!G132&amp;")")</f>
        <v>Lesser Healing Potion (Worn)</v>
      </c>
      <c r="J53" s="1333"/>
      <c r="K53" s="1334"/>
      <c r="L53" s="1335"/>
      <c r="M53" s="1333"/>
      <c r="N53" s="716">
        <f>IF('Equipment Combat'!G78="","",'Equipment Combat'!G78)</f>
        <v>1</v>
      </c>
      <c r="O53" s="717" t="str">
        <f>IF('Equipment Combat'!G132="Stowed","["&amp;IF('Equipment Combat'!G239&lt;0.1,"",IF('Equipment Combat'!G239&lt;1,INT(10*'Equipment Combat'!G239)&amp;"L",INT('Equipment Combat'!G239)&amp;"B"))&amp;"]",IF('Equipment Combat'!G295&lt;0.1,"",IF('Equipment Combat'!G295&lt;1,INT(10*'Equipment Combat'!G295)&amp;"L",INT('Equipment Combat'!G295)&amp;"B")))</f>
        <v>1L</v>
      </c>
      <c r="P53" s="1332" t="str">
        <f>IF('Equipment Combat'!G38="","",'Equipment Combat'!G38&amp;" ("&amp;'Equipment Combat'!G145&amp;")")</f>
        <v/>
      </c>
      <c r="Q53" s="1333"/>
      <c r="R53" s="1334"/>
      <c r="S53" s="1335"/>
      <c r="T53" s="1333"/>
      <c r="U53" s="716" t="str">
        <f>IF('Equipment Combat'!G91="","",'Equipment Combat'!G91)</f>
        <v/>
      </c>
      <c r="V53" s="717" t="str">
        <f>IF('Equipment Combat'!G145="Stowed","["&amp;IF('Equipment Combat'!G252&lt;0.1,"",IF('Equipment Combat'!G252&lt;1,INT(10*'Equipment Combat'!G252)&amp;"L",INT('Equipment Combat'!G252)&amp;"B"))&amp;"]",IF('Equipment Combat'!G308&lt;0.1,"",IF('Equipment Combat'!G308&lt;1,INT(10*'Equipment Combat'!G308)&amp;"L",INT('Equipment Combat'!G308)&amp;"B")))</f>
        <v/>
      </c>
      <c r="W53" s="1332" t="str">
        <f>IF('Equipment Combat'!G51="","",'Equipment Combat'!G51&amp;" ("&amp;'Equipment Combat'!G158&amp;")")</f>
        <v/>
      </c>
      <c r="X53" s="1333"/>
      <c r="Y53" s="1335"/>
      <c r="Z53" s="1333"/>
      <c r="AA53" s="716" t="str">
        <f>IF('Equipment Combat'!G104="","",'Equipment Combat'!G104)</f>
        <v/>
      </c>
      <c r="AB53" s="717" t="str">
        <f>IF('Equipment Combat'!G158="Stowed","["&amp;IF('Equipment Combat'!G265&lt;0.1,"",IF('Equipment Combat'!G265&lt;1,INT(10*'Equipment Combat'!G265)&amp;"L",INT('Equipment Combat'!G265)&amp;"B"))&amp;"]",IF('Equipment Combat'!G321&lt;0.1,"",IF('Equipment Combat'!G321&lt;1,INT(10*'Equipment Combat'!G321)&amp;"L",INT('Equipment Combat'!G321)&amp;"B")))</f>
        <v/>
      </c>
      <c r="AC53" s="637"/>
    </row>
    <row r="54" spans="1:29" s="627" customFormat="1" ht="19.5" customHeight="1" x14ac:dyDescent="0.25">
      <c r="A54" s="656"/>
      <c r="B54" s="1332" t="str">
        <f>IF('Equipment Combat'!G13="","",'Equipment Combat'!G13&amp;" ("&amp;'Equipment Combat'!G120&amp;")")</f>
        <v>Soap (Stowed)</v>
      </c>
      <c r="C54" s="1333"/>
      <c r="D54" s="1333"/>
      <c r="E54" s="1334"/>
      <c r="F54" s="1335"/>
      <c r="G54" s="716">
        <f>IF('Equipment Combat'!G66="","",'Equipment Combat'!G66)</f>
        <v>1</v>
      </c>
      <c r="H54" s="717" t="str">
        <f>IF('Equipment Combat'!G120="Stowed","["&amp;IF('Equipment Combat'!G227&lt;0.1,"",IF('Equipment Combat'!G227&lt;1,INT(10*'Equipment Combat'!G227)&amp;"L",INT('Equipment Combat'!G227)&amp;"B"))&amp;"]",IF('Equipment Combat'!G283&lt;0.1,"",IF('Equipment Combat'!G283&lt;1,INT(10*'Equipment Combat'!G283)&amp;"L",INT('Equipment Combat'!G283)&amp;"B")))</f>
        <v>[]</v>
      </c>
      <c r="I54" s="1332" t="str">
        <f>IF('Equipment Combat'!G26="","",'Equipment Combat'!G26&amp;" ("&amp;'Equipment Combat'!G133&amp;")")</f>
        <v>Silk Pyjama (25 gp) (Stowed)</v>
      </c>
      <c r="J54" s="1333"/>
      <c r="K54" s="1334"/>
      <c r="L54" s="1335"/>
      <c r="M54" s="1333"/>
      <c r="N54" s="716">
        <f>IF('Equipment Combat'!G79="","",'Equipment Combat'!G79)</f>
        <v>1</v>
      </c>
      <c r="O54" s="717" t="str">
        <f>IF('Equipment Combat'!G133="Stowed","["&amp;IF('Equipment Combat'!G240&lt;0.1,"",IF('Equipment Combat'!G240&lt;1,INT(10*'Equipment Combat'!G240)&amp;"L",INT('Equipment Combat'!G240)&amp;"B"))&amp;"]",IF('Equipment Combat'!G296&lt;0.1,"",IF('Equipment Combat'!G296&lt;1,INT(10*'Equipment Combat'!G296)&amp;"L",INT('Equipment Combat'!G296)&amp;"B")))</f>
        <v>[1L]</v>
      </c>
      <c r="P54" s="1332" t="str">
        <f>IF('Equipment Combat'!G39="","",'Equipment Combat'!G39&amp;" ("&amp;'Equipment Combat'!G146&amp;")")</f>
        <v/>
      </c>
      <c r="Q54" s="1333"/>
      <c r="R54" s="1334"/>
      <c r="S54" s="1335"/>
      <c r="T54" s="1333"/>
      <c r="U54" s="716" t="str">
        <f>IF('Equipment Combat'!G92="","",'Equipment Combat'!G92)</f>
        <v/>
      </c>
      <c r="V54" s="717" t="str">
        <f>IF('Equipment Combat'!G146="Stowed","["&amp;IF('Equipment Combat'!G253&lt;0.1,"",IF('Equipment Combat'!G253&lt;1,INT(10*'Equipment Combat'!G253)&amp;"L",INT('Equipment Combat'!G253)&amp;"B"))&amp;"]",IF('Equipment Combat'!G309&lt;0.1,"",IF('Equipment Combat'!G309&lt;1,INT(10*'Equipment Combat'!G309)&amp;"L",INT('Equipment Combat'!G309)&amp;"B")))</f>
        <v/>
      </c>
      <c r="W54" s="1332" t="str">
        <f>IF('Equipment Combat'!G52="","",'Equipment Combat'!G52&amp;" ("&amp;'Equipment Combat'!G159&amp;")")</f>
        <v/>
      </c>
      <c r="X54" s="1333"/>
      <c r="Y54" s="1335"/>
      <c r="Z54" s="1333"/>
      <c r="AA54" s="716" t="str">
        <f>IF('Equipment Combat'!G105="","",'Equipment Combat'!G105)</f>
        <v/>
      </c>
      <c r="AB54" s="717" t="str">
        <f>IF('Equipment Combat'!G159="Stowed","["&amp;IF('Equipment Combat'!G266&lt;0.1,"",IF('Equipment Combat'!G266&lt;1,INT(10*'Equipment Combat'!G266)&amp;"L",INT('Equipment Combat'!G266)&amp;"B"))&amp;"]",IF('Equipment Combat'!G322&lt;0.1,"",IF('Equipment Combat'!G322&lt;1,INT(10*'Equipment Combat'!G322)&amp;"L",INT('Equipment Combat'!G322)&amp;"B")))</f>
        <v/>
      </c>
      <c r="AC54" s="637"/>
    </row>
    <row r="55" spans="1:29" s="627" customFormat="1" ht="19.5" customHeight="1" x14ac:dyDescent="0.25">
      <c r="A55" s="656"/>
      <c r="B55" s="1332" t="str">
        <f>IF('Equipment Combat'!G14="","",'Equipment Combat'!G14&amp;" ("&amp;'Equipment Combat'!G121&amp;")")</f>
        <v>Torch (Stowed)</v>
      </c>
      <c r="C55" s="1333"/>
      <c r="D55" s="1333"/>
      <c r="E55" s="1334"/>
      <c r="F55" s="1335"/>
      <c r="G55" s="716">
        <f>IF('Equipment Combat'!G67="","",'Equipment Combat'!G67)</f>
        <v>5</v>
      </c>
      <c r="H55" s="717" t="str">
        <f>IF('Equipment Combat'!G121="Stowed","["&amp;IF('Equipment Combat'!G228&lt;0.1,"",IF('Equipment Combat'!G228&lt;1,INT(10*'Equipment Combat'!G228)&amp;"L",INT('Equipment Combat'!G228)&amp;"B"))&amp;"]",IF('Equipment Combat'!G284&lt;0.1,"",IF('Equipment Combat'!G284&lt;1,INT(10*'Equipment Combat'!G284)&amp;"L",INT('Equipment Combat'!G284)&amp;"B")))</f>
        <v>[5L]</v>
      </c>
      <c r="I55" s="1332" t="str">
        <f>IF('Equipment Combat'!G27="","",'Equipment Combat'!G27&amp;" ("&amp;'Equipment Combat'!G134&amp;")")</f>
        <v>Arsenic Tainted Gold (1 gp) (Stowed)</v>
      </c>
      <c r="J55" s="1333"/>
      <c r="K55" s="1334"/>
      <c r="L55" s="1335"/>
      <c r="M55" s="1333"/>
      <c r="N55" s="716">
        <f>IF('Equipment Combat'!G80="","",'Equipment Combat'!G80)</f>
        <v>20</v>
      </c>
      <c r="O55" s="717" t="str">
        <f>IF('Equipment Combat'!G134="Stowed","["&amp;IF('Equipment Combat'!G241&lt;0.1,"",IF('Equipment Combat'!G241&lt;1,INT(10*'Equipment Combat'!G241)&amp;"L",INT('Equipment Combat'!G241)&amp;"B"))&amp;"]",IF('Equipment Combat'!G297&lt;0.1,"",IF('Equipment Combat'!G297&lt;1,INT(10*'Equipment Combat'!G297)&amp;"L",INT('Equipment Combat'!G297)&amp;"B")))</f>
        <v>[]</v>
      </c>
      <c r="P55" s="1332" t="str">
        <f>IF('Equipment Combat'!G40="","",'Equipment Combat'!G40&amp;" ("&amp;'Equipment Combat'!G147&amp;")")</f>
        <v/>
      </c>
      <c r="Q55" s="1333"/>
      <c r="R55" s="1334"/>
      <c r="S55" s="1335"/>
      <c r="T55" s="1333"/>
      <c r="U55" s="716" t="str">
        <f>IF('Equipment Combat'!G93="","",'Equipment Combat'!G93)</f>
        <v/>
      </c>
      <c r="V55" s="717" t="str">
        <f>IF('Equipment Combat'!G147="Stowed","["&amp;IF('Equipment Combat'!G254&lt;0.1,"",IF('Equipment Combat'!G254&lt;1,INT(10*'Equipment Combat'!G254)&amp;"L",INT('Equipment Combat'!G254)&amp;"B"))&amp;"]",IF('Equipment Combat'!G310&lt;0.1,"",IF('Equipment Combat'!G310&lt;1,INT(10*'Equipment Combat'!G310)&amp;"L",INT('Equipment Combat'!G310)&amp;"B")))</f>
        <v/>
      </c>
      <c r="W55" s="1332" t="str">
        <f>IF('Equipment Combat'!G53="","",'Equipment Combat'!G53&amp;" ("&amp;'Equipment Combat'!G160&amp;")")</f>
        <v/>
      </c>
      <c r="X55" s="1333"/>
      <c r="Y55" s="1335"/>
      <c r="Z55" s="1333"/>
      <c r="AA55" s="716" t="str">
        <f>IF('Equipment Combat'!G106="","",'Equipment Combat'!G106)</f>
        <v/>
      </c>
      <c r="AB55" s="717" t="str">
        <f>IF('Equipment Combat'!G160="Stowed","["&amp;IF('Equipment Combat'!G267&lt;0.1,"",IF('Equipment Combat'!G267&lt;1,INT(10*'Equipment Combat'!G267)&amp;"L",INT('Equipment Combat'!G267)&amp;"B"))&amp;"]",IF('Equipment Combat'!G323&lt;0.1,"",IF('Equipment Combat'!G323&lt;1,INT(10*'Equipment Combat'!G323)&amp;"L",INT('Equipment Combat'!G323)&amp;"B")))</f>
        <v/>
      </c>
      <c r="AC55" s="637"/>
    </row>
    <row r="56" spans="1:29" s="627" customFormat="1" ht="19.5" customHeight="1" x14ac:dyDescent="0.25">
      <c r="A56" s="656"/>
      <c r="B56" s="1332" t="str">
        <f>IF('Equipment Combat'!G15="","",'Equipment Combat'!G15&amp;" ("&amp;'Equipment Combat'!G122&amp;")")</f>
        <v>Waterskin (Stowed)</v>
      </c>
      <c r="C56" s="1333"/>
      <c r="D56" s="1333"/>
      <c r="E56" s="1334"/>
      <c r="F56" s="1335"/>
      <c r="G56" s="716">
        <f>IF('Equipment Combat'!G68="","",'Equipment Combat'!G68)</f>
        <v>1</v>
      </c>
      <c r="H56" s="717" t="str">
        <f>IF('Equipment Combat'!G122="Stowed","["&amp;IF('Equipment Combat'!G229&lt;0.1,"",IF('Equipment Combat'!G229&lt;1,INT(10*'Equipment Combat'!G229)&amp;"L",INT('Equipment Combat'!G229)&amp;"B"))&amp;"]",IF('Equipment Combat'!G285&lt;0.1,"",IF('Equipment Combat'!G285&lt;1,INT(10*'Equipment Combat'!G285)&amp;"L",INT('Equipment Combat'!G285)&amp;"B")))</f>
        <v>[1L]</v>
      </c>
      <c r="I56" s="1332" t="str">
        <f>IF('Equipment Combat'!G28="","",'Equipment Combat'!G28&amp;" ("&amp;'Equipment Combat'!G135&amp;")")</f>
        <v>Antiplague (Lesser) (Worn)</v>
      </c>
      <c r="J56" s="1333"/>
      <c r="K56" s="1334"/>
      <c r="L56" s="1335"/>
      <c r="M56" s="1333"/>
      <c r="N56" s="716">
        <f>IF('Equipment Combat'!G81="","",'Equipment Combat'!G81)</f>
        <v>1</v>
      </c>
      <c r="O56" s="717" t="str">
        <f>IF('Equipment Combat'!G135="Stowed","["&amp;IF('Equipment Combat'!G242&lt;0.1,"",IF('Equipment Combat'!G242&lt;1,INT(10*'Equipment Combat'!G242)&amp;"L",INT('Equipment Combat'!G242)&amp;"B"))&amp;"]",IF('Equipment Combat'!G298&lt;0.1,"",IF('Equipment Combat'!G298&lt;1,INT(10*'Equipment Combat'!G298)&amp;"L",INT('Equipment Combat'!G298)&amp;"B")))</f>
        <v>1L</v>
      </c>
      <c r="P56" s="1332" t="str">
        <f>IF('Equipment Combat'!G41="","",'Equipment Combat'!G41&amp;" ("&amp;'Equipment Combat'!G148&amp;")")</f>
        <v/>
      </c>
      <c r="Q56" s="1333"/>
      <c r="R56" s="1334"/>
      <c r="S56" s="1335"/>
      <c r="T56" s="1333"/>
      <c r="U56" s="716" t="str">
        <f>IF('Equipment Combat'!G94="","",'Equipment Combat'!G94)</f>
        <v/>
      </c>
      <c r="V56" s="717" t="str">
        <f>IF('Equipment Combat'!G148="Stowed","["&amp;IF('Equipment Combat'!G255&lt;0.1,"",IF('Equipment Combat'!G255&lt;1,INT(10*'Equipment Combat'!G255)&amp;"L",INT('Equipment Combat'!G255)&amp;"B"))&amp;"]",IF('Equipment Combat'!G311&lt;0.1,"",IF('Equipment Combat'!G311&lt;1,INT(10*'Equipment Combat'!G311)&amp;"L",INT('Equipment Combat'!G311)&amp;"B")))</f>
        <v/>
      </c>
      <c r="W56" s="1332" t="str">
        <f>IF('Equipment Combat'!G54="","",'Equipment Combat'!G54&amp;" ("&amp;'Equipment Combat'!G161&amp;")")</f>
        <v/>
      </c>
      <c r="X56" s="1333"/>
      <c r="Y56" s="1335"/>
      <c r="Z56" s="1333"/>
      <c r="AA56" s="716" t="str">
        <f>IF('Equipment Combat'!G107="","",'Equipment Combat'!G107)</f>
        <v/>
      </c>
      <c r="AB56" s="717" t="str">
        <f>IF('Equipment Combat'!G161="Stowed","["&amp;IF('Equipment Combat'!G268&lt;0.1,"",IF('Equipment Combat'!G268&lt;1,INT(10*'Equipment Combat'!G268)&amp;"L",INT('Equipment Combat'!G268)&amp;"B"))&amp;"]",IF('Equipment Combat'!G324&lt;0.1,"",IF('Equipment Combat'!G324&lt;1,INT(10*'Equipment Combat'!G324)&amp;"L",INT('Equipment Combat'!G324)&amp;"B")))</f>
        <v/>
      </c>
      <c r="AC56" s="637"/>
    </row>
    <row r="57" spans="1:29" s="627" customFormat="1" ht="19.5" customHeight="1" x14ac:dyDescent="0.25">
      <c r="A57" s="656"/>
      <c r="B57" s="1332" t="str">
        <f>IF('Equipment Combat'!G16="","",'Equipment Combat'!G16&amp;" ("&amp;'Equipment Combat'!G123&amp;")")</f>
        <v>+1 Dagger (1d4) (Worn)</v>
      </c>
      <c r="C57" s="1333"/>
      <c r="D57" s="1333"/>
      <c r="E57" s="1334"/>
      <c r="F57" s="1335"/>
      <c r="G57" s="716">
        <f>IF('Equipment Combat'!G69="","",'Equipment Combat'!G69)</f>
        <v>1</v>
      </c>
      <c r="H57" s="717" t="str">
        <f>IF('Equipment Combat'!G123="Stowed","["&amp;IF('Equipment Combat'!G230&lt;0.1,"",IF('Equipment Combat'!G230&lt;1,INT(10*'Equipment Combat'!G230)&amp;"L",INT('Equipment Combat'!G230)&amp;"B"))&amp;"]",IF('Equipment Combat'!G286&lt;0.1,"",IF('Equipment Combat'!G286&lt;1,INT(10*'Equipment Combat'!G286)&amp;"L",INT('Equipment Combat'!G286)&amp;"B")))</f>
        <v>1L</v>
      </c>
      <c r="I57" s="1332" t="str">
        <f>IF('Equipment Combat'!G29="","",'Equipment Combat'!G29&amp;" ("&amp;'Equipment Combat'!G136&amp;")")</f>
        <v/>
      </c>
      <c r="J57" s="1333"/>
      <c r="K57" s="1334"/>
      <c r="L57" s="1335"/>
      <c r="M57" s="1333"/>
      <c r="N57" s="716" t="str">
        <f>IF('Equipment Combat'!G82="","",'Equipment Combat'!G82)</f>
        <v/>
      </c>
      <c r="O57" s="717" t="str">
        <f>IF('Equipment Combat'!G136="Stowed","["&amp;IF('Equipment Combat'!G243&lt;0.1,"",IF('Equipment Combat'!G243&lt;1,INT(10*'Equipment Combat'!G243)&amp;"L",INT('Equipment Combat'!G243)&amp;"B"))&amp;"]",IF('Equipment Combat'!G299&lt;0.1,"",IF('Equipment Combat'!G299&lt;1,INT(10*'Equipment Combat'!G299)&amp;"L",INT('Equipment Combat'!G299)&amp;"B")))</f>
        <v/>
      </c>
      <c r="P57" s="1332" t="str">
        <f>IF('Equipment Combat'!G42="","",'Equipment Combat'!G42&amp;" ("&amp;'Equipment Combat'!G149&amp;")")</f>
        <v/>
      </c>
      <c r="Q57" s="1333"/>
      <c r="R57" s="1334"/>
      <c r="S57" s="1335"/>
      <c r="T57" s="1333"/>
      <c r="U57" s="716" t="str">
        <f>IF('Equipment Combat'!G95="","",'Equipment Combat'!G95)</f>
        <v/>
      </c>
      <c r="V57" s="717" t="str">
        <f>IF('Equipment Combat'!G149="Stowed","["&amp;IF('Equipment Combat'!G256&lt;0.1,"",IF('Equipment Combat'!G256&lt;1,INT(10*'Equipment Combat'!G256)&amp;"L",INT('Equipment Combat'!G256)&amp;"B"))&amp;"]",IF('Equipment Combat'!G312&lt;0.1,"",IF('Equipment Combat'!G312&lt;1,INT(10*'Equipment Combat'!G312)&amp;"L",INT('Equipment Combat'!G312)&amp;"B")))</f>
        <v/>
      </c>
      <c r="W57" s="1332" t="str">
        <f>IF('Equipment Combat'!G55="","",'Equipment Combat'!G55&amp;" ("&amp;'Equipment Combat'!G162&amp;")")</f>
        <v/>
      </c>
      <c r="X57" s="1333"/>
      <c r="Y57" s="1335"/>
      <c r="Z57" s="1333"/>
      <c r="AA57" s="716" t="str">
        <f>IF('Equipment Combat'!G108="","",'Equipment Combat'!G108)</f>
        <v/>
      </c>
      <c r="AB57" s="717" t="str">
        <f>IF('Equipment Combat'!G162="Stowed","["&amp;IF('Equipment Combat'!G269&lt;0.1,"",IF('Equipment Combat'!G269&lt;1,INT(10*'Equipment Combat'!G269)&amp;"L",INT('Equipment Combat'!G269)&amp;"B"))&amp;"]",IF('Equipment Combat'!G325&lt;0.1,"",IF('Equipment Combat'!G325&lt;1,INT(10*'Equipment Combat'!G325)&amp;"L",INT('Equipment Combat'!G325)&amp;"B")))</f>
        <v/>
      </c>
      <c r="AC57" s="637"/>
    </row>
    <row r="58" spans="1:29" s="627" customFormat="1" ht="19.5" customHeight="1" x14ac:dyDescent="0.25">
      <c r="A58" s="656"/>
      <c r="B58" s="1332" t="str">
        <f>IF('Equipment Combat'!G17="","",'Equipment Combat'!G17&amp;" ("&amp;'Equipment Combat'!G124&amp;")")</f>
        <v>Silver Light Mace (1d4) (Worn)</v>
      </c>
      <c r="C58" s="1333"/>
      <c r="D58" s="1333"/>
      <c r="E58" s="1333"/>
      <c r="F58" s="1335"/>
      <c r="G58" s="716">
        <f>IF('Equipment Combat'!G70="","",'Equipment Combat'!G70)</f>
        <v>1</v>
      </c>
      <c r="H58" s="717" t="str">
        <f>IF('Equipment Combat'!G124="Stowed","["&amp;IF('Equipment Combat'!G231&lt;0.1,"",IF('Equipment Combat'!G231&lt;1,INT(10*'Equipment Combat'!G231)&amp;"L",INT('Equipment Combat'!G231)&amp;"B"))&amp;"]",IF('Equipment Combat'!G287&lt;0.1,"",IF('Equipment Combat'!G287&lt;1,INT(10*'Equipment Combat'!G287)&amp;"L",INT('Equipment Combat'!G287)&amp;"B")))</f>
        <v>1L</v>
      </c>
      <c r="I58" s="1332" t="str">
        <f>IF('Equipment Combat'!G30="","",'Equipment Combat'!G30&amp;" ("&amp;'Equipment Combat'!G137&amp;")")</f>
        <v/>
      </c>
      <c r="J58" s="1333"/>
      <c r="K58" s="1333"/>
      <c r="L58" s="1335"/>
      <c r="M58" s="1333"/>
      <c r="N58" s="716" t="str">
        <f>IF('Equipment Combat'!G83="","",'Equipment Combat'!G83)</f>
        <v/>
      </c>
      <c r="O58" s="717" t="str">
        <f>IF('Equipment Combat'!G137="Stowed","["&amp;IF('Equipment Combat'!G244&lt;0.1,"",IF('Equipment Combat'!G244&lt;1,INT(10*'Equipment Combat'!G244)&amp;"L",INT('Equipment Combat'!G244)&amp;"B"))&amp;"]",IF('Equipment Combat'!G300&lt;0.1,"",IF('Equipment Combat'!G300&lt;1,INT(10*'Equipment Combat'!G300)&amp;"L",INT('Equipment Combat'!G300)&amp;"B")))</f>
        <v/>
      </c>
      <c r="P58" s="1332" t="str">
        <f>IF('Equipment Combat'!G43="","",'Equipment Combat'!G43&amp;" ("&amp;'Equipment Combat'!G150&amp;")")</f>
        <v/>
      </c>
      <c r="Q58" s="1333"/>
      <c r="R58" s="1333"/>
      <c r="S58" s="1335"/>
      <c r="T58" s="1333"/>
      <c r="U58" s="716" t="str">
        <f>IF('Equipment Combat'!G96="","",'Equipment Combat'!G96)</f>
        <v/>
      </c>
      <c r="V58" s="717" t="str">
        <f>IF('Equipment Combat'!G150="Stowed","["&amp;IF('Equipment Combat'!G257&lt;0.1,"",IF('Equipment Combat'!G257&lt;1,INT(10*'Equipment Combat'!G257)&amp;"L",INT('Equipment Combat'!G257)&amp;"B"))&amp;"]",IF('Equipment Combat'!G313&lt;0.1,"",IF('Equipment Combat'!G313&lt;1,INT(10*'Equipment Combat'!G313)&amp;"L",INT('Equipment Combat'!G313)&amp;"B")))</f>
        <v/>
      </c>
      <c r="W58" s="1332" t="str">
        <f>IF('Equipment Combat'!G56="","",'Equipment Combat'!G56&amp;" ("&amp;'Equipment Combat'!G163&amp;")")</f>
        <v/>
      </c>
      <c r="X58" s="1333"/>
      <c r="Y58" s="1335"/>
      <c r="Z58" s="1333"/>
      <c r="AA58" s="716" t="str">
        <f>IF('Equipment Combat'!G109="","",'Equipment Combat'!G109)</f>
        <v/>
      </c>
      <c r="AB58" s="717" t="str">
        <f>IF('Equipment Combat'!G163="Stowed","["&amp;IF('Equipment Combat'!G270&lt;0.1,"",IF('Equipment Combat'!G270&lt;1,INT(10*'Equipment Combat'!G270)&amp;"L",INT('Equipment Combat'!G270)&amp;"B"))&amp;"]",IF('Equipment Combat'!G326&lt;0.1,"",IF('Equipment Combat'!G326&lt;1,INT(10*'Equipment Combat'!G326)&amp;"L",INT('Equipment Combat'!G326)&amp;"B")))</f>
        <v/>
      </c>
      <c r="AC58" s="637"/>
    </row>
    <row r="59" spans="1:29" s="627" customFormat="1" ht="19.5" customHeight="1" x14ac:dyDescent="0.25">
      <c r="A59" s="656"/>
      <c r="B59" s="1332" t="str">
        <f>IF('Equipment Combat'!G18="","",'Equipment Combat'!G18&amp;" ("&amp;'Equipment Combat'!G125&amp;")")</f>
        <v>+1 Striking Rapier (2d6) (Held)</v>
      </c>
      <c r="C59" s="1333"/>
      <c r="D59" s="1333"/>
      <c r="E59" s="1333"/>
      <c r="F59" s="1335"/>
      <c r="G59" s="716">
        <f>IF('Equipment Combat'!G71="","",'Equipment Combat'!G71)</f>
        <v>1</v>
      </c>
      <c r="H59" s="717" t="str">
        <f>IF('Equipment Combat'!G125="Stowed","["&amp;IF('Equipment Combat'!G232&lt;0.1,"",IF('Equipment Combat'!G232&lt;1,INT(10*'Equipment Combat'!G232)&amp;"L",INT('Equipment Combat'!G232)&amp;"B"))&amp;"]",IF('Equipment Combat'!G288&lt;0.1,"",IF('Equipment Combat'!G288&lt;1,INT(10*'Equipment Combat'!G288)&amp;"L",INT('Equipment Combat'!G288)&amp;"B")))</f>
        <v>1B</v>
      </c>
      <c r="I59" s="1332" t="str">
        <f>IF('Equipment Combat'!G31="","",'Equipment Combat'!G31&amp;" ("&amp;'Equipment Combat'!G138&amp;")")</f>
        <v/>
      </c>
      <c r="J59" s="1333"/>
      <c r="K59" s="1333"/>
      <c r="L59" s="1335"/>
      <c r="M59" s="1333"/>
      <c r="N59" s="716" t="str">
        <f>IF('Equipment Combat'!G84="","",'Equipment Combat'!G84)</f>
        <v/>
      </c>
      <c r="O59" s="717" t="str">
        <f>IF('Equipment Combat'!G138="Stowed","["&amp;IF('Equipment Combat'!G245&lt;0.1,"",IF('Equipment Combat'!G245&lt;1,INT(10*'Equipment Combat'!G245)&amp;"L",INT('Equipment Combat'!G245)&amp;"B"))&amp;"]",IF('Equipment Combat'!G301&lt;0.1,"",IF('Equipment Combat'!G301&lt;1,INT(10*'Equipment Combat'!G301)&amp;"L",INT('Equipment Combat'!G301)&amp;"B")))</f>
        <v/>
      </c>
      <c r="P59" s="1332" t="str">
        <f>IF('Equipment Combat'!G44="","",'Equipment Combat'!G44&amp;" ("&amp;'Equipment Combat'!G151&amp;")")</f>
        <v/>
      </c>
      <c r="Q59" s="1333"/>
      <c r="R59" s="1333"/>
      <c r="S59" s="1335"/>
      <c r="T59" s="1333"/>
      <c r="U59" s="716" t="str">
        <f>IF('Equipment Combat'!G97="","",'Equipment Combat'!G97)</f>
        <v/>
      </c>
      <c r="V59" s="717" t="str">
        <f>IF('Equipment Combat'!G151="Stowed","["&amp;IF('Equipment Combat'!G258&lt;0.1,"",IF('Equipment Combat'!G258&lt;1,INT(10*'Equipment Combat'!G258)&amp;"L",INT('Equipment Combat'!G258)&amp;"B"))&amp;"]",IF('Equipment Combat'!G314&lt;0.1,"",IF('Equipment Combat'!G314&lt;1,INT(10*'Equipment Combat'!G314)&amp;"L",INT('Equipment Combat'!G314)&amp;"B")))</f>
        <v/>
      </c>
      <c r="W59" s="1332" t="str">
        <f>IF('Equipment Combat'!G57="","",'Equipment Combat'!G57&amp;" ("&amp;'Equipment Combat'!G164&amp;")")</f>
        <v/>
      </c>
      <c r="X59" s="1333"/>
      <c r="Y59" s="1335"/>
      <c r="Z59" s="1333"/>
      <c r="AA59" s="716" t="str">
        <f>IF('Equipment Combat'!G110="","",'Equipment Combat'!G110)</f>
        <v/>
      </c>
      <c r="AB59" s="717" t="str">
        <f>IF('Equipment Combat'!G164="Stowed","["&amp;IF('Equipment Combat'!G271&lt;0.1,"",IF('Equipment Combat'!G271&lt;1,INT(10*'Equipment Combat'!G271)&amp;"L",INT('Equipment Combat'!G271)&amp;"B"))&amp;"]",IF('Equipment Combat'!G327&lt;0.1,"",IF('Equipment Combat'!G327&lt;1,INT(10*'Equipment Combat'!G327)&amp;"L",INT('Equipment Combat'!G327)&amp;"B")))</f>
        <v/>
      </c>
      <c r="AC59" s="637"/>
    </row>
    <row r="60" spans="1:29" s="627" customFormat="1" ht="19.5" customHeight="1" x14ac:dyDescent="0.25">
      <c r="A60" s="656"/>
      <c r="B60" s="1336" t="str">
        <f>IF('Equipment Combat'!G19="","",'Equipment Combat'!G19&amp;" ("&amp;'Equipment Combat'!G126&amp;")")</f>
        <v>+1 Leather Armor (+2 M4 -1/10) (Worn)</v>
      </c>
      <c r="C60" s="1337"/>
      <c r="D60" s="1337"/>
      <c r="E60" s="1337"/>
      <c r="F60" s="1338"/>
      <c r="G60" s="915">
        <f>IF('Equipment Combat'!G72="","",'Equipment Combat'!G72)</f>
        <v>1</v>
      </c>
      <c r="H60" s="916" t="str">
        <f>IF('Equipment Combat'!G126="Stowed","["&amp;IF('Equipment Combat'!G233&lt;0.1,"",IF('Equipment Combat'!G233&lt;1,INT(10*'Equipment Combat'!G233)&amp;"L",INT('Equipment Combat'!G233)&amp;"B"))&amp;"]",IF('Equipment Combat'!G289&lt;0.1,"",IF('Equipment Combat'!G289&lt;1,INT(10*'Equipment Combat'!G289)&amp;"L",INT('Equipment Combat'!G289)&amp;"B")))</f>
        <v>1B</v>
      </c>
      <c r="I60" s="1336" t="str">
        <f>IF('Equipment Combat'!G32="","",'Equipment Combat'!G32&amp;" ("&amp;'Equipment Combat'!G139&amp;")")</f>
        <v/>
      </c>
      <c r="J60" s="1337"/>
      <c r="K60" s="1337"/>
      <c r="L60" s="1338"/>
      <c r="M60" s="1337"/>
      <c r="N60" s="915" t="str">
        <f>IF('Equipment Combat'!G85="","",'Equipment Combat'!G85)</f>
        <v/>
      </c>
      <c r="O60" s="916" t="str">
        <f>IF('Equipment Combat'!G139="Stowed","["&amp;IF('Equipment Combat'!G246&lt;0.1,"",IF('Equipment Combat'!G246&lt;1,INT(10*'Equipment Combat'!G246)&amp;"L",INT('Equipment Combat'!G246)&amp;"B"))&amp;"]",IF('Equipment Combat'!G302&lt;0.1,"",IF('Equipment Combat'!G302&lt;1,INT(10*'Equipment Combat'!G302)&amp;"L",INT('Equipment Combat'!G302)&amp;"B")))</f>
        <v/>
      </c>
      <c r="P60" s="1336" t="str">
        <f>IF('Equipment Combat'!G45="","",'Equipment Combat'!G45&amp;" ("&amp;'Equipment Combat'!G152&amp;")")</f>
        <v/>
      </c>
      <c r="Q60" s="1337"/>
      <c r="R60" s="1337"/>
      <c r="S60" s="1338"/>
      <c r="T60" s="1337"/>
      <c r="U60" s="915" t="str">
        <f>IF('Equipment Combat'!G98="","",'Equipment Combat'!G98)</f>
        <v/>
      </c>
      <c r="V60" s="916" t="str">
        <f>IF('Equipment Combat'!G152="Stowed","["&amp;IF('Equipment Combat'!G259&lt;0.1,"",IF('Equipment Combat'!G259&lt;1,INT(10*'Equipment Combat'!G259)&amp;"L",INT('Equipment Combat'!G259)&amp;"B"))&amp;"]",IF('Equipment Combat'!G315&lt;0.1,"",IF('Equipment Combat'!G315&lt;1,INT(10*'Equipment Combat'!G315)&amp;"L",INT('Equipment Combat'!G315)&amp;"B")))</f>
        <v/>
      </c>
      <c r="W60" s="1336" t="str">
        <f>IF('Equipment Combat'!G58="","",'Equipment Combat'!G58&amp;" ("&amp;'Equipment Combat'!G165&amp;")")</f>
        <v/>
      </c>
      <c r="X60" s="1337"/>
      <c r="Y60" s="1338"/>
      <c r="Z60" s="1337"/>
      <c r="AA60" s="915" t="str">
        <f>IF('Equipment Combat'!G111="","",'Equipment Combat'!G111)</f>
        <v/>
      </c>
      <c r="AB60" s="916" t="str">
        <f>IF('Equipment Combat'!G165="Stowed","["&amp;IF('Equipment Combat'!G272&lt;0.1,"",IF('Equipment Combat'!G272&lt;1,INT(10*'Equipment Combat'!G272)&amp;"L",INT('Equipment Combat'!G272)&amp;"B"))&amp;"]",IF('Equipment Combat'!G328&lt;0.1,"",IF('Equipment Combat'!G328&lt;1,INT(10*'Equipment Combat'!G328)&amp;"L",INT('Equipment Combat'!G328)&amp;"B")))</f>
        <v/>
      </c>
      <c r="AC60" s="637"/>
    </row>
    <row r="61" spans="1:29" s="627" customFormat="1"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s="627" customFormat="1" ht="19.5" customHeight="1" x14ac:dyDescent="0.3">
      <c r="A62" s="656"/>
      <c r="B62" s="718">
        <f>'Equipment Combat'!G3</f>
        <v>0</v>
      </c>
      <c r="C62" s="719">
        <f>'Equipment Combat'!G4</f>
        <v>12</v>
      </c>
      <c r="D62" s="719">
        <f>'Equipment Combat'!G5</f>
        <v>74</v>
      </c>
      <c r="E62" s="720">
        <f>'Equipment Combat'!G6</f>
        <v>1</v>
      </c>
      <c r="F62" s="948"/>
      <c r="G62" s="772">
        <f>'Equipment Combat'!G329</f>
        <v>3</v>
      </c>
      <c r="H62" s="454"/>
      <c r="I62" s="451">
        <f>5+K62</f>
        <v>7</v>
      </c>
      <c r="J62" s="453" t="s">
        <v>512</v>
      </c>
      <c r="K62" s="452">
        <f>'Equipment Combat'!G331</f>
        <v>2</v>
      </c>
      <c r="L62" s="454"/>
      <c r="M62" s="451">
        <f>10+O62</f>
        <v>12</v>
      </c>
      <c r="N62" s="453" t="s">
        <v>513</v>
      </c>
      <c r="O62" s="452">
        <f>K62</f>
        <v>2</v>
      </c>
      <c r="P62" s="454"/>
      <c r="Q62" s="644" t="s">
        <v>505</v>
      </c>
      <c r="R62" s="1544" t="str">
        <f>'Equipment Combat'!G333</f>
        <v>Fine</v>
      </c>
      <c r="S62" s="1545"/>
      <c r="T62" s="1545"/>
      <c r="U62" s="1545"/>
      <c r="V62" s="1545"/>
      <c r="W62" s="1546"/>
      <c r="X62" s="1544" t="str">
        <f>'Equipment Combat'!G274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IF(Feats!G5="","",Feats!G5)</f>
        <v>Otherworldly Magic (Ray of Frost)</v>
      </c>
      <c r="C65" s="1411"/>
      <c r="D65" s="1411"/>
      <c r="E65" s="1411"/>
      <c r="F65" s="1411"/>
      <c r="G65" s="1411"/>
      <c r="H65" s="1411"/>
      <c r="I65" s="1411"/>
      <c r="J65" s="1411" t="str">
        <f>IF(Feats!G5="","",Feats!M5)</f>
        <v>Ancestry feat</v>
      </c>
      <c r="K65" s="1411"/>
      <c r="L65" s="1411"/>
      <c r="M65" s="1411"/>
      <c r="N65" s="1412">
        <f>IF(Feats!G5="","",Feats!L5)</f>
        <v>1</v>
      </c>
      <c r="O65" s="1413"/>
      <c r="P65" s="1410" t="str">
        <f>IF(Feats!G29="","",Feats!G29)</f>
        <v>Mobility</v>
      </c>
      <c r="Q65" s="1411"/>
      <c r="R65" s="1411"/>
      <c r="S65" s="1411"/>
      <c r="T65" s="1411"/>
      <c r="U65" s="1411"/>
      <c r="V65" s="1411"/>
      <c r="W65" s="1411"/>
      <c r="X65" s="1411" t="str">
        <f>IF(Feats!G29="","",Feats!M29)</f>
        <v>Class feat</v>
      </c>
      <c r="Y65" s="1411"/>
      <c r="Z65" s="1411"/>
      <c r="AA65" s="1411"/>
      <c r="AB65" s="1412">
        <f>IF(Feats!G29="","",Feats!L29)</f>
        <v>4</v>
      </c>
      <c r="AC65" s="637"/>
    </row>
    <row r="66" spans="1:29" ht="19.5" customHeight="1" x14ac:dyDescent="0.25">
      <c r="A66" s="656"/>
      <c r="B66" s="1414" t="str">
        <f>IF(Feats!G6="","",Feats!G6)</f>
        <v>Darkvision</v>
      </c>
      <c r="C66" s="1415"/>
      <c r="D66" s="1415"/>
      <c r="E66" s="1415"/>
      <c r="F66" s="1415"/>
      <c r="G66" s="1415"/>
      <c r="H66" s="1415"/>
      <c r="I66" s="1415"/>
      <c r="J66" s="1415" t="str">
        <f>IF(Feats!G6="","",Feats!M6)</f>
        <v>Ancestry vision</v>
      </c>
      <c r="K66" s="1415"/>
      <c r="L66" s="1415"/>
      <c r="M66" s="1415"/>
      <c r="N66" s="1416">
        <f>IF(Feats!G6="","",Feats!L6)</f>
        <v>1</v>
      </c>
      <c r="O66" s="1413"/>
      <c r="P66" s="1414" t="str">
        <f>IF(Feats!G30="","",Feats!G30)</f>
        <v>Expert in Acrobatics</v>
      </c>
      <c r="Q66" s="1415"/>
      <c r="R66" s="1415"/>
      <c r="S66" s="1415"/>
      <c r="T66" s="1415"/>
      <c r="U66" s="1415"/>
      <c r="V66" s="1415"/>
      <c r="W66" s="1415"/>
      <c r="X66" s="1415" t="str">
        <f>IF(Feats!G30="","",Feats!M30)</f>
        <v>Skill increase (Rogue)</v>
      </c>
      <c r="Y66" s="1415"/>
      <c r="Z66" s="1415"/>
      <c r="AA66" s="1415"/>
      <c r="AB66" s="1416">
        <f>IF(Feats!G30="","",Feats!L30)</f>
        <v>4</v>
      </c>
      <c r="AC66" s="637"/>
    </row>
    <row r="67" spans="1:29" ht="19.5" customHeight="1" x14ac:dyDescent="0.25">
      <c r="A67" s="656"/>
      <c r="B67" s="1414" t="str">
        <f>IF(Feats!G7="","",Feats!G7)</f>
        <v>Pickpocket</v>
      </c>
      <c r="C67" s="1415"/>
      <c r="D67" s="1415"/>
      <c r="E67" s="1415"/>
      <c r="F67" s="1415"/>
      <c r="G67" s="1415"/>
      <c r="H67" s="1415"/>
      <c r="I67" s="1415"/>
      <c r="J67" s="1415" t="str">
        <f>IF(Feats!G7="","",Feats!M7)</f>
        <v>Background Skill feat</v>
      </c>
      <c r="K67" s="1415"/>
      <c r="L67" s="1415"/>
      <c r="M67" s="1415"/>
      <c r="N67" s="1416">
        <f>IF(Feats!G7="","",Feats!L7)</f>
        <v>1</v>
      </c>
      <c r="O67" s="1413"/>
      <c r="P67" s="1414" t="str">
        <f>IF(Feats!G31="","",Feats!G31)</f>
        <v>Sneak attack 2d6</v>
      </c>
      <c r="Q67" s="1415"/>
      <c r="R67" s="1415"/>
      <c r="S67" s="1415"/>
      <c r="T67" s="1415"/>
      <c r="U67" s="1415"/>
      <c r="V67" s="1415"/>
      <c r="W67" s="1415"/>
      <c r="X67" s="1415" t="str">
        <f>IF(Feats!G31="","",Feats!M31)</f>
        <v>Class ability</v>
      </c>
      <c r="Y67" s="1415"/>
      <c r="Z67" s="1415"/>
      <c r="AA67" s="1415"/>
      <c r="AB67" s="1416">
        <f>IF(Feats!G31="","",Feats!L31)</f>
        <v>5</v>
      </c>
      <c r="AC67" s="637"/>
    </row>
    <row r="68" spans="1:29" ht="19.5" customHeight="1" x14ac:dyDescent="0.25">
      <c r="A68" s="656"/>
      <c r="B68" s="1414" t="str">
        <f>IF(Feats!G8="","",Feats!G8)</f>
        <v>Racket = Scoundrel</v>
      </c>
      <c r="C68" s="1415"/>
      <c r="D68" s="1415"/>
      <c r="E68" s="1415"/>
      <c r="F68" s="1415"/>
      <c r="G68" s="1415"/>
      <c r="H68" s="1415"/>
      <c r="I68" s="1415"/>
      <c r="J68" s="1415" t="str">
        <f>IF(Feats!G8="","",Feats!M8)</f>
        <v>Class details</v>
      </c>
      <c r="K68" s="1415"/>
      <c r="L68" s="1415"/>
      <c r="M68" s="1415"/>
      <c r="N68" s="1416">
        <f>IF(Feats!G8="","",Feats!L8)</f>
        <v>1</v>
      </c>
      <c r="O68" s="1413"/>
      <c r="P68" s="1414" t="str">
        <f>IF(Feats!G32="","",Feats!G32)</f>
        <v>Weapon tricks</v>
      </c>
      <c r="Q68" s="1415"/>
      <c r="R68" s="1415"/>
      <c r="S68" s="1415"/>
      <c r="T68" s="1415"/>
      <c r="U68" s="1415"/>
      <c r="V68" s="1415"/>
      <c r="W68" s="1415"/>
      <c r="X68" s="1415" t="str">
        <f>IF(Feats!G32="","",Feats!M32)</f>
        <v>Class ability</v>
      </c>
      <c r="Y68" s="1415"/>
      <c r="Z68" s="1415"/>
      <c r="AA68" s="1415"/>
      <c r="AB68" s="1416">
        <f>IF(Feats!G32="","",Feats!L32)</f>
        <v>5</v>
      </c>
      <c r="AC68" s="637"/>
    </row>
    <row r="69" spans="1:29" ht="19.5" customHeight="1" x14ac:dyDescent="0.25">
      <c r="A69" s="656"/>
      <c r="B69" s="1414" t="str">
        <f>IF(Feats!G9="","",Feats!G9)</f>
        <v/>
      </c>
      <c r="C69" s="1415"/>
      <c r="D69" s="1415"/>
      <c r="E69" s="1415"/>
      <c r="F69" s="1415"/>
      <c r="G69" s="1415"/>
      <c r="H69" s="1415"/>
      <c r="I69" s="1415"/>
      <c r="J69" s="1415" t="str">
        <f>IF(Feats!G9="","",Feats!M9)</f>
        <v/>
      </c>
      <c r="K69" s="1415"/>
      <c r="L69" s="1415"/>
      <c r="M69" s="1415"/>
      <c r="N69" s="1416" t="str">
        <f>IF(Feats!G9="","",Feats!L9)</f>
        <v/>
      </c>
      <c r="O69" s="1413"/>
      <c r="P69" s="1414" t="str">
        <f>IF(Feats!G33="","",Feats!G33)</f>
        <v>Ageless Patience</v>
      </c>
      <c r="Q69" s="1415"/>
      <c r="R69" s="1415"/>
      <c r="S69" s="1415"/>
      <c r="T69" s="1415"/>
      <c r="U69" s="1415"/>
      <c r="V69" s="1415"/>
      <c r="W69" s="1415"/>
      <c r="X69" s="1415" t="str">
        <f>IF(Feats!G33="","",Feats!M33)</f>
        <v>Ancestry feat</v>
      </c>
      <c r="Y69" s="1415"/>
      <c r="Z69" s="1415"/>
      <c r="AA69" s="1415"/>
      <c r="AB69" s="1416">
        <f>IF(Feats!G33="","",Feats!L33)</f>
        <v>5</v>
      </c>
      <c r="AC69" s="637"/>
    </row>
    <row r="70" spans="1:29" ht="19.5" customHeight="1" x14ac:dyDescent="0.25">
      <c r="A70" s="656"/>
      <c r="B70" s="1414" t="str">
        <f>IF(Feats!G10="","",Feats!G10)</f>
        <v>Sneak attack 1d6</v>
      </c>
      <c r="C70" s="1415"/>
      <c r="D70" s="1415"/>
      <c r="E70" s="1415"/>
      <c r="F70" s="1415"/>
      <c r="G70" s="1415"/>
      <c r="H70" s="1415"/>
      <c r="I70" s="1415"/>
      <c r="J70" s="1415" t="str">
        <f>IF(Feats!G10="","",Feats!M10)</f>
        <v>Class ability</v>
      </c>
      <c r="K70" s="1415"/>
      <c r="L70" s="1415"/>
      <c r="M70" s="1415"/>
      <c r="N70" s="1416">
        <f>IF(Feats!G10="","",Feats!L10)</f>
        <v>1</v>
      </c>
      <c r="O70" s="1413"/>
      <c r="P70" s="1414" t="str">
        <f>IF(Feats!G34="","",Feats!G34)</f>
        <v>Expert in Athletics</v>
      </c>
      <c r="Q70" s="1415"/>
      <c r="R70" s="1415"/>
      <c r="S70" s="1415"/>
      <c r="T70" s="1415"/>
      <c r="U70" s="1415"/>
      <c r="V70" s="1415"/>
      <c r="W70" s="1415"/>
      <c r="X70" s="1415" t="str">
        <f>IF(Feats!G34="","",Feats!M34)</f>
        <v>Skill increase</v>
      </c>
      <c r="Y70" s="1415"/>
      <c r="Z70" s="1415"/>
      <c r="AA70" s="1415"/>
      <c r="AB70" s="1416">
        <f>IF(Feats!G34="","",Feats!L34)</f>
        <v>5</v>
      </c>
      <c r="AC70" s="637"/>
    </row>
    <row r="71" spans="1:29" ht="19.5" customHeight="1" x14ac:dyDescent="0.25">
      <c r="A71" s="656"/>
      <c r="B71" s="1414" t="str">
        <f>IF(Feats!G11="","",Feats!G11)</f>
        <v>Surprise attack</v>
      </c>
      <c r="C71" s="1415"/>
      <c r="D71" s="1415"/>
      <c r="E71" s="1415"/>
      <c r="F71" s="1415"/>
      <c r="G71" s="1415"/>
      <c r="H71" s="1415"/>
      <c r="I71" s="1415"/>
      <c r="J71" s="1415" t="str">
        <f>IF(Feats!G11="","",Feats!M11)</f>
        <v>Class ability</v>
      </c>
      <c r="K71" s="1415"/>
      <c r="L71" s="1415"/>
      <c r="M71" s="1415"/>
      <c r="N71" s="1416">
        <f>IF(Feats!G11="","",Feats!L11)</f>
        <v>1</v>
      </c>
      <c r="O71" s="1413"/>
      <c r="P71" s="1414" t="str">
        <f>IF(Feats!G35="","",Feats!G35)</f>
        <v>Powerful Leap (E Athletics)</v>
      </c>
      <c r="Q71" s="1415"/>
      <c r="R71" s="1415"/>
      <c r="S71" s="1415"/>
      <c r="T71" s="1415"/>
      <c r="U71" s="1415"/>
      <c r="V71" s="1415"/>
      <c r="W71" s="1415"/>
      <c r="X71" s="1415" t="str">
        <f>IF(Feats!G35="","",Feats!M35)</f>
        <v>Skill feat (Rogue)</v>
      </c>
      <c r="Y71" s="1415"/>
      <c r="Z71" s="1415"/>
      <c r="AA71" s="1415"/>
      <c r="AB71" s="1416">
        <f>IF(Feats!G35="","",Feats!L35)</f>
        <v>5</v>
      </c>
      <c r="AC71" s="637"/>
    </row>
    <row r="72" spans="1:29" ht="19.5" customHeight="1" x14ac:dyDescent="0.25">
      <c r="A72" s="656"/>
      <c r="B72" s="1414" t="str">
        <f>IF(Feats!G12="","",Feats!G12)</f>
        <v>Racket = Feint</v>
      </c>
      <c r="C72" s="1415"/>
      <c r="D72" s="1415"/>
      <c r="E72" s="1415"/>
      <c r="F72" s="1415"/>
      <c r="G72" s="1415"/>
      <c r="H72" s="1415"/>
      <c r="I72" s="1415"/>
      <c r="J72" s="1415" t="str">
        <f>IF(Feats!G12="","",Feats!M12)</f>
        <v>Class ability</v>
      </c>
      <c r="K72" s="1415"/>
      <c r="L72" s="1415"/>
      <c r="M72" s="1415"/>
      <c r="N72" s="1416">
        <f>IF(Feats!G12="","",Feats!L12)</f>
        <v>1</v>
      </c>
      <c r="O72" s="1413"/>
      <c r="P72" s="1414" t="str">
        <f>IF(Feats!G36="","",Feats!G36)</f>
        <v/>
      </c>
      <c r="Q72" s="1415"/>
      <c r="R72" s="1415"/>
      <c r="S72" s="1415"/>
      <c r="T72" s="1415"/>
      <c r="U72" s="1415"/>
      <c r="V72" s="1415"/>
      <c r="W72" s="1415"/>
      <c r="X72" s="1415" t="str">
        <f>IF(Feats!G36="","",Feats!M36)</f>
        <v/>
      </c>
      <c r="Y72" s="1415"/>
      <c r="Z72" s="1415"/>
      <c r="AA72" s="1415"/>
      <c r="AB72" s="1416" t="str">
        <f>IF(Feats!G36="","",Feats!L36)</f>
        <v/>
      </c>
      <c r="AC72" s="637"/>
    </row>
    <row r="73" spans="1:29" ht="19.5" hidden="1" customHeight="1" outlineLevel="1" x14ac:dyDescent="0.25">
      <c r="A73" s="656"/>
      <c r="B73" s="1414" t="str">
        <f>IF(Feats!G13="","",Feats!G13)</f>
        <v/>
      </c>
      <c r="C73" s="1415"/>
      <c r="D73" s="1415"/>
      <c r="E73" s="1415"/>
      <c r="F73" s="1415"/>
      <c r="G73" s="1415"/>
      <c r="H73" s="1415"/>
      <c r="I73" s="1415"/>
      <c r="J73" s="1415" t="str">
        <f>IF(Feats!G13="","",Feats!M13)</f>
        <v/>
      </c>
      <c r="K73" s="1415"/>
      <c r="L73" s="1415"/>
      <c r="M73" s="1415"/>
      <c r="N73" s="1416" t="str">
        <f>IF(Feats!G13="","",Feats!L13)</f>
        <v/>
      </c>
      <c r="O73" s="1413"/>
      <c r="P73" s="1414" t="str">
        <f>IF(Feats!G37="","",Feats!G37)</f>
        <v/>
      </c>
      <c r="Q73" s="1415"/>
      <c r="R73" s="1415"/>
      <c r="S73" s="1415"/>
      <c r="T73" s="1415"/>
      <c r="U73" s="1415"/>
      <c r="V73" s="1415"/>
      <c r="W73" s="1415"/>
      <c r="X73" s="1415" t="str">
        <f>IF(Feats!G37="","",Feats!M37)</f>
        <v/>
      </c>
      <c r="Y73" s="1415"/>
      <c r="Z73" s="1415"/>
      <c r="AA73" s="1415"/>
      <c r="AB73" s="1416" t="str">
        <f>IF(Feats!G37="","",Feats!L37)</f>
        <v/>
      </c>
      <c r="AC73" s="637"/>
    </row>
    <row r="74" spans="1:29" ht="19.5" hidden="1" customHeight="1" outlineLevel="1" x14ac:dyDescent="0.25">
      <c r="A74" s="656"/>
      <c r="B74" s="1414" t="str">
        <f>IF(Feats!G14="","",Feats!G14)</f>
        <v/>
      </c>
      <c r="C74" s="1415"/>
      <c r="D74" s="1415"/>
      <c r="E74" s="1415"/>
      <c r="F74" s="1415"/>
      <c r="G74" s="1415"/>
      <c r="H74" s="1415"/>
      <c r="I74" s="1415"/>
      <c r="J74" s="1415" t="str">
        <f>IF(Feats!G14="","",Feats!M14)</f>
        <v/>
      </c>
      <c r="K74" s="1415"/>
      <c r="L74" s="1415"/>
      <c r="M74" s="1415"/>
      <c r="N74" s="1416" t="str">
        <f>IF(Feats!G14="","",Feats!L14)</f>
        <v/>
      </c>
      <c r="O74" s="1413"/>
      <c r="P74" s="1414" t="str">
        <f>IF(Feats!G38="","",Feats!G38)</f>
        <v/>
      </c>
      <c r="Q74" s="1415"/>
      <c r="R74" s="1415"/>
      <c r="S74" s="1415"/>
      <c r="T74" s="1415"/>
      <c r="U74" s="1415"/>
      <c r="V74" s="1415"/>
      <c r="W74" s="1415"/>
      <c r="X74" s="1415" t="str">
        <f>IF(Feats!G38="","",Feats!M38)</f>
        <v/>
      </c>
      <c r="Y74" s="1415"/>
      <c r="Z74" s="1415"/>
      <c r="AA74" s="1415"/>
      <c r="AB74" s="1416" t="str">
        <f>IF(Feats!G38="","",Feats!L38)</f>
        <v/>
      </c>
      <c r="AC74" s="637"/>
    </row>
    <row r="75" spans="1:29" ht="19.5" hidden="1" customHeight="1" outlineLevel="1" x14ac:dyDescent="0.25">
      <c r="A75" s="656"/>
      <c r="B75" s="1414" t="str">
        <f>IF(Feats!G15="","",Feats!G15)</f>
        <v/>
      </c>
      <c r="C75" s="1415"/>
      <c r="D75" s="1415"/>
      <c r="E75" s="1415"/>
      <c r="F75" s="1415"/>
      <c r="G75" s="1415"/>
      <c r="H75" s="1415"/>
      <c r="I75" s="1415"/>
      <c r="J75" s="1415" t="str">
        <f>IF(Feats!G15="","",Feats!M15)</f>
        <v/>
      </c>
      <c r="K75" s="1415"/>
      <c r="L75" s="1415"/>
      <c r="M75" s="1415"/>
      <c r="N75" s="1416" t="str">
        <f>IF(Feats!G15="","",Feats!L15)</f>
        <v/>
      </c>
      <c r="O75" s="1413"/>
      <c r="P75" s="1414" t="str">
        <f>IF(Feats!G39="","",Feats!G39)</f>
        <v/>
      </c>
      <c r="Q75" s="1415"/>
      <c r="R75" s="1415"/>
      <c r="S75" s="1415"/>
      <c r="T75" s="1415"/>
      <c r="U75" s="1415"/>
      <c r="V75" s="1415"/>
      <c r="W75" s="1415"/>
      <c r="X75" s="1415" t="str">
        <f>IF(Feats!G39="","",Feats!M39)</f>
        <v/>
      </c>
      <c r="Y75" s="1415"/>
      <c r="Z75" s="1415"/>
      <c r="AA75" s="1415"/>
      <c r="AB75" s="1416" t="str">
        <f>IF(Feats!G39="","",Feats!L39)</f>
        <v/>
      </c>
      <c r="AC75" s="637"/>
    </row>
    <row r="76" spans="1:29" ht="19.5" customHeight="1" collapsed="1" x14ac:dyDescent="0.25">
      <c r="A76" s="656"/>
      <c r="B76" s="1414" t="str">
        <f>IF(Feats!G16="","",Feats!G16)</f>
        <v>Nimble Dodge</v>
      </c>
      <c r="C76" s="1415"/>
      <c r="D76" s="1415"/>
      <c r="E76" s="1415"/>
      <c r="F76" s="1415"/>
      <c r="G76" s="1415"/>
      <c r="H76" s="1415"/>
      <c r="I76" s="1415"/>
      <c r="J76" s="1415" t="str">
        <f>IF(Feats!G16="","",Feats!M16)</f>
        <v>Class feat</v>
      </c>
      <c r="K76" s="1415"/>
      <c r="L76" s="1415"/>
      <c r="M76" s="1415"/>
      <c r="N76" s="1416">
        <f>IF(Feats!G16="","",Feats!L16)</f>
        <v>1</v>
      </c>
      <c r="O76" s="1413"/>
      <c r="P76" s="1414" t="str">
        <f>IF(Feats!G40="","",Feats!G40)</f>
        <v/>
      </c>
      <c r="Q76" s="1415"/>
      <c r="R76" s="1415"/>
      <c r="S76" s="1415"/>
      <c r="T76" s="1415"/>
      <c r="U76" s="1415"/>
      <c r="V76" s="1415"/>
      <c r="W76" s="1415"/>
      <c r="X76" s="1415" t="str">
        <f>IF(Feats!G40="","",Feats!M40)</f>
        <v/>
      </c>
      <c r="Y76" s="1415"/>
      <c r="Z76" s="1415"/>
      <c r="AA76" s="1415"/>
      <c r="AB76" s="1416" t="str">
        <f>IF(Feats!G40="","",Feats!L40)</f>
        <v/>
      </c>
      <c r="AC76" s="637"/>
    </row>
    <row r="77" spans="1:29" ht="19.5" customHeight="1" x14ac:dyDescent="0.25">
      <c r="A77" s="656"/>
      <c r="B77" s="1414" t="str">
        <f>IF(Feats!G17="","",Feats!G17)</f>
        <v>Lenghty Diversion</v>
      </c>
      <c r="C77" s="1415"/>
      <c r="D77" s="1415"/>
      <c r="E77" s="1415"/>
      <c r="F77" s="1415"/>
      <c r="G77" s="1415"/>
      <c r="H77" s="1415"/>
      <c r="I77" s="1415"/>
      <c r="J77" s="1415" t="str">
        <f>IF(Feats!G17="","",Feats!M17)</f>
        <v>Skill feat (Rogue)</v>
      </c>
      <c r="K77" s="1415"/>
      <c r="L77" s="1415"/>
      <c r="M77" s="1415"/>
      <c r="N77" s="1416">
        <f>IF(Feats!G17="","",Feats!L17)</f>
        <v>1</v>
      </c>
      <c r="O77" s="1413"/>
      <c r="P77" s="1414" t="str">
        <f>IF(Feats!G41="","",Feats!G41)</f>
        <v/>
      </c>
      <c r="Q77" s="1415"/>
      <c r="R77" s="1415"/>
      <c r="S77" s="1415"/>
      <c r="T77" s="1415"/>
      <c r="U77" s="1415"/>
      <c r="V77" s="1415"/>
      <c r="W77" s="1415"/>
      <c r="X77" s="1415" t="str">
        <f>IF(Feats!G41="","",Feats!M41)</f>
        <v/>
      </c>
      <c r="Y77" s="1415"/>
      <c r="Z77" s="1415"/>
      <c r="AA77" s="1415"/>
      <c r="AB77" s="1416" t="str">
        <f>IF(Feats!G41="","",Feats!L41)</f>
        <v/>
      </c>
      <c r="AC77" s="637"/>
    </row>
    <row r="78" spans="1:29" ht="19.5" customHeight="1" x14ac:dyDescent="0.25">
      <c r="A78" s="656"/>
      <c r="B78" s="1414" t="str">
        <f>IF(Feats!G18="","",Feats!G18)</f>
        <v>Cat Fall (T Acrobatics)</v>
      </c>
      <c r="C78" s="1415"/>
      <c r="D78" s="1415"/>
      <c r="E78" s="1415"/>
      <c r="F78" s="1415"/>
      <c r="G78" s="1415"/>
      <c r="H78" s="1415"/>
      <c r="I78" s="1415"/>
      <c r="J78" s="1415" t="str">
        <f>IF(Feats!G18="","",Feats!M18)</f>
        <v>Skill feat</v>
      </c>
      <c r="K78" s="1415"/>
      <c r="L78" s="1415"/>
      <c r="M78" s="1415"/>
      <c r="N78" s="1416">
        <f>IF(Feats!G18="","",Feats!L18)</f>
        <v>2</v>
      </c>
      <c r="O78" s="1413"/>
      <c r="P78" s="1414" t="str">
        <f>IF(Feats!G42="","",Feats!G42)</f>
        <v/>
      </c>
      <c r="Q78" s="1415"/>
      <c r="R78" s="1415"/>
      <c r="S78" s="1415"/>
      <c r="T78" s="1415"/>
      <c r="U78" s="1415"/>
      <c r="V78" s="1415"/>
      <c r="W78" s="1415"/>
      <c r="X78" s="1415" t="str">
        <f>IF(Feats!G42="","",Feats!M42)</f>
        <v/>
      </c>
      <c r="Y78" s="1415"/>
      <c r="Z78" s="1415"/>
      <c r="AA78" s="1415"/>
      <c r="AB78" s="1416" t="str">
        <f>IF(Feats!G42="","",Feats!L42)</f>
        <v/>
      </c>
      <c r="AC78" s="637"/>
    </row>
    <row r="79" spans="1:29" ht="19.5" customHeight="1" x14ac:dyDescent="0.25">
      <c r="A79" s="656"/>
      <c r="B79" s="1414" t="str">
        <f>IF(Feats!G19="","",Feats!G19)</f>
        <v>Distracting Feint</v>
      </c>
      <c r="C79" s="1415"/>
      <c r="D79" s="1415"/>
      <c r="E79" s="1415"/>
      <c r="F79" s="1415"/>
      <c r="G79" s="1415"/>
      <c r="H79" s="1415"/>
      <c r="I79" s="1415"/>
      <c r="J79" s="1415" t="str">
        <f>IF(Feats!G19="","",Feats!M19)</f>
        <v>Class feat</v>
      </c>
      <c r="K79" s="1415"/>
      <c r="L79" s="1415"/>
      <c r="M79" s="1415"/>
      <c r="N79" s="1416">
        <f>IF(Feats!G19="","",Feats!L19)</f>
        <v>2</v>
      </c>
      <c r="O79" s="1413"/>
      <c r="P79" s="1414" t="str">
        <f>IF(Feats!G43="","",Feats!G43)</f>
        <v/>
      </c>
      <c r="Q79" s="1415"/>
      <c r="R79" s="1415"/>
      <c r="S79" s="1415"/>
      <c r="T79" s="1415"/>
      <c r="U79" s="1415"/>
      <c r="V79" s="1415"/>
      <c r="W79" s="1415"/>
      <c r="X79" s="1415" t="str">
        <f>IF(Feats!G43="","",Feats!M43)</f>
        <v/>
      </c>
      <c r="Y79" s="1415"/>
      <c r="Z79" s="1415"/>
      <c r="AA79" s="1415"/>
      <c r="AB79" s="1416" t="str">
        <f>IF(Feats!G43="","",Feats!L43)</f>
        <v/>
      </c>
      <c r="AC79" s="637"/>
    </row>
    <row r="80" spans="1:29" ht="19.5" hidden="1" customHeight="1" outlineLevel="1" x14ac:dyDescent="0.25">
      <c r="A80" s="656"/>
      <c r="B80" s="1414" t="str">
        <f>IF(Feats!G20="","",Feats!G20)</f>
        <v/>
      </c>
      <c r="C80" s="1415"/>
      <c r="D80" s="1415"/>
      <c r="E80" s="1415"/>
      <c r="F80" s="1415"/>
      <c r="G80" s="1415"/>
      <c r="H80" s="1415"/>
      <c r="I80" s="1415"/>
      <c r="J80" s="1415" t="str">
        <f>IF(Feats!G20="","",Feats!M20)</f>
        <v/>
      </c>
      <c r="K80" s="1415"/>
      <c r="L80" s="1415"/>
      <c r="M80" s="1415"/>
      <c r="N80" s="1416" t="str">
        <f>IF(Feats!G20="","",Feats!L20)</f>
        <v/>
      </c>
      <c r="O80" s="1413"/>
      <c r="P80" s="1414" t="str">
        <f>IF(Feats!G44="","",Feats!G44)</f>
        <v/>
      </c>
      <c r="Q80" s="1415"/>
      <c r="R80" s="1415"/>
      <c r="S80" s="1415"/>
      <c r="T80" s="1415"/>
      <c r="U80" s="1415"/>
      <c r="V80" s="1415"/>
      <c r="W80" s="1415"/>
      <c r="X80" s="1415" t="str">
        <f>IF(Feats!G44="","",Feats!M44)</f>
        <v/>
      </c>
      <c r="Y80" s="1415"/>
      <c r="Z80" s="1415"/>
      <c r="AA80" s="1415"/>
      <c r="AB80" s="1416" t="str">
        <f>IF(Feats!G44="","",Feats!L44)</f>
        <v/>
      </c>
      <c r="AC80" s="637"/>
    </row>
    <row r="81" spans="1:29" ht="19.5" customHeight="1" collapsed="1" x14ac:dyDescent="0.25">
      <c r="A81" s="656"/>
      <c r="B81" s="1414" t="str">
        <f>IF(Feats!G21="","",Feats!G21)</f>
        <v>Expert in Deception</v>
      </c>
      <c r="C81" s="1415"/>
      <c r="D81" s="1415"/>
      <c r="E81" s="1415"/>
      <c r="F81" s="1415"/>
      <c r="G81" s="1415"/>
      <c r="H81" s="1415"/>
      <c r="I81" s="1415"/>
      <c r="J81" s="1415" t="str">
        <f>IF(Feats!G21="","",Feats!M21)</f>
        <v>Skill increase (Rogue)</v>
      </c>
      <c r="K81" s="1415"/>
      <c r="L81" s="1415"/>
      <c r="M81" s="1415"/>
      <c r="N81" s="1416">
        <f>IF(Feats!G21="","",Feats!L21)</f>
        <v>2</v>
      </c>
      <c r="O81" s="1413"/>
      <c r="P81" s="1414" t="str">
        <f>IF(Feats!G45="","",Feats!G45)</f>
        <v/>
      </c>
      <c r="Q81" s="1415"/>
      <c r="R81" s="1415"/>
      <c r="S81" s="1415"/>
      <c r="T81" s="1415"/>
      <c r="U81" s="1415"/>
      <c r="V81" s="1415"/>
      <c r="W81" s="1415"/>
      <c r="X81" s="1415" t="str">
        <f>IF(Feats!G45="","",Feats!M45)</f>
        <v/>
      </c>
      <c r="Y81" s="1415"/>
      <c r="Z81" s="1415"/>
      <c r="AA81" s="1415"/>
      <c r="AB81" s="1416" t="str">
        <f>IF(Feats!G45="","",Feats!L45)</f>
        <v/>
      </c>
      <c r="AC81" s="637"/>
    </row>
    <row r="82" spans="1:29" ht="19.5" customHeight="1" x14ac:dyDescent="0.25">
      <c r="A82" s="656"/>
      <c r="B82" s="1414" t="str">
        <f>IF(Feats!G22="","",Feats!G22)</f>
        <v>Deny Advantage</v>
      </c>
      <c r="C82" s="1415"/>
      <c r="D82" s="1415"/>
      <c r="E82" s="1415"/>
      <c r="F82" s="1415"/>
      <c r="G82" s="1415"/>
      <c r="H82" s="1415"/>
      <c r="I82" s="1415"/>
      <c r="J82" s="1415" t="str">
        <f>IF(Feats!G22="","",Feats!M22)</f>
        <v>Class ability</v>
      </c>
      <c r="K82" s="1415"/>
      <c r="L82" s="1415"/>
      <c r="M82" s="1415"/>
      <c r="N82" s="1416">
        <f>IF(Feats!G22="","",Feats!L22)</f>
        <v>3</v>
      </c>
      <c r="O82" s="1413"/>
      <c r="P82" s="1414" t="str">
        <f>IF(Feats!G46="","",Feats!G46)</f>
        <v/>
      </c>
      <c r="Q82" s="1415"/>
      <c r="R82" s="1415"/>
      <c r="S82" s="1415"/>
      <c r="T82" s="1415"/>
      <c r="U82" s="1415"/>
      <c r="V82" s="1415"/>
      <c r="W82" s="1415"/>
      <c r="X82" s="1415" t="str">
        <f>IF(Feats!G46="","",Feats!M46)</f>
        <v/>
      </c>
      <c r="Y82" s="1415"/>
      <c r="Z82" s="1415"/>
      <c r="AA82" s="1415"/>
      <c r="AB82" s="1416" t="str">
        <f>IF(Feats!G46="","",Feats!L46)</f>
        <v/>
      </c>
      <c r="AC82" s="637"/>
    </row>
    <row r="83" spans="1:29" ht="19.5" hidden="1" customHeight="1" outlineLevel="1" x14ac:dyDescent="0.25">
      <c r="A83" s="656"/>
      <c r="B83" s="1414" t="str">
        <f>IF(Feats!G23="","",Feats!G23)</f>
        <v/>
      </c>
      <c r="C83" s="1415"/>
      <c r="D83" s="1415"/>
      <c r="E83" s="1415"/>
      <c r="F83" s="1415"/>
      <c r="G83" s="1415"/>
      <c r="H83" s="1415"/>
      <c r="I83" s="1415"/>
      <c r="J83" s="1415" t="str">
        <f>IF(Feats!G23="","",Feats!M23)</f>
        <v/>
      </c>
      <c r="K83" s="1415"/>
      <c r="L83" s="1415"/>
      <c r="M83" s="1415"/>
      <c r="N83" s="1416" t="str">
        <f>IF(Feats!G23="","",Feats!L23)</f>
        <v/>
      </c>
      <c r="O83" s="1413"/>
      <c r="P83" s="1414" t="str">
        <f>IF(Feats!G47="","",Feats!G47)</f>
        <v/>
      </c>
      <c r="Q83" s="1415"/>
      <c r="R83" s="1415"/>
      <c r="S83" s="1415"/>
      <c r="T83" s="1415"/>
      <c r="U83" s="1415"/>
      <c r="V83" s="1415"/>
      <c r="W83" s="1415"/>
      <c r="X83" s="1415" t="str">
        <f>IF(Feats!G47="","",Feats!M47)</f>
        <v/>
      </c>
      <c r="Y83" s="1415"/>
      <c r="Z83" s="1415"/>
      <c r="AA83" s="1415"/>
      <c r="AB83" s="1416" t="str">
        <f>IF(Feats!G47="","",Feats!L47)</f>
        <v/>
      </c>
      <c r="AC83" s="637"/>
    </row>
    <row r="84" spans="1:29" ht="19.5" hidden="1" customHeight="1" outlineLevel="1" x14ac:dyDescent="0.25">
      <c r="A84" s="656"/>
      <c r="B84" s="1414" t="str">
        <f>IF(Feats!G24="","",Feats!G24)</f>
        <v/>
      </c>
      <c r="C84" s="1415"/>
      <c r="D84" s="1415"/>
      <c r="E84" s="1415"/>
      <c r="F84" s="1415"/>
      <c r="G84" s="1415"/>
      <c r="H84" s="1415"/>
      <c r="I84" s="1415"/>
      <c r="J84" s="1415" t="str">
        <f>IF(Feats!G24="","",Feats!M24)</f>
        <v/>
      </c>
      <c r="K84" s="1415"/>
      <c r="L84" s="1415"/>
      <c r="M84" s="1415"/>
      <c r="N84" s="1416" t="str">
        <f>IF(Feats!G24="","",Feats!L24)</f>
        <v/>
      </c>
      <c r="O84" s="1413"/>
      <c r="P84" s="1414" t="str">
        <f>IF(Feats!G48="","",Feats!G48)</f>
        <v/>
      </c>
      <c r="Q84" s="1415"/>
      <c r="R84" s="1415"/>
      <c r="S84" s="1415"/>
      <c r="T84" s="1415"/>
      <c r="U84" s="1415"/>
      <c r="V84" s="1415"/>
      <c r="W84" s="1415"/>
      <c r="X84" s="1415" t="str">
        <f>IF(Feats!G48="","",Feats!M48)</f>
        <v/>
      </c>
      <c r="Y84" s="1415"/>
      <c r="Z84" s="1415"/>
      <c r="AA84" s="1415"/>
      <c r="AB84" s="1416" t="str">
        <f>IF(Feats!G48="","",Feats!L48)</f>
        <v/>
      </c>
      <c r="AC84" s="637"/>
    </row>
    <row r="85" spans="1:29" ht="19.5" customHeight="1" collapsed="1" x14ac:dyDescent="0.25">
      <c r="A85" s="656"/>
      <c r="B85" s="1414" t="str">
        <f>IF(Feats!G25="","",Feats!G25)</f>
        <v>Prescient Planner</v>
      </c>
      <c r="C85" s="1415"/>
      <c r="D85" s="1415"/>
      <c r="E85" s="1415"/>
      <c r="F85" s="1415"/>
      <c r="G85" s="1415"/>
      <c r="H85" s="1415"/>
      <c r="I85" s="1415"/>
      <c r="J85" s="1415" t="str">
        <f>IF(Feats!G25="","",Feats!M25)</f>
        <v>General feat</v>
      </c>
      <c r="K85" s="1415"/>
      <c r="L85" s="1415"/>
      <c r="M85" s="1415"/>
      <c r="N85" s="1416">
        <f>IF(Feats!G25="","",Feats!L25)</f>
        <v>3</v>
      </c>
      <c r="O85" s="1413"/>
      <c r="P85" s="1414" t="str">
        <f>IF(Feats!G49="","",Feats!G49)</f>
        <v/>
      </c>
      <c r="Q85" s="1415"/>
      <c r="R85" s="1415"/>
      <c r="S85" s="1415"/>
      <c r="T85" s="1415"/>
      <c r="U85" s="1415"/>
      <c r="V85" s="1415"/>
      <c r="W85" s="1415"/>
      <c r="X85" s="1415" t="str">
        <f>IF(Feats!G49="","",Feats!M49)</f>
        <v/>
      </c>
      <c r="Y85" s="1415"/>
      <c r="Z85" s="1415"/>
      <c r="AA85" s="1415"/>
      <c r="AB85" s="1416" t="str">
        <f>IF(Feats!G49="","",Feats!L49)</f>
        <v/>
      </c>
      <c r="AC85" s="637"/>
    </row>
    <row r="86" spans="1:29" ht="19.5" customHeight="1" x14ac:dyDescent="0.25">
      <c r="A86" s="656"/>
      <c r="B86" s="1414" t="str">
        <f>IF(Feats!G26="","",Feats!G26)</f>
        <v>Expert in Diplomacy</v>
      </c>
      <c r="C86" s="1415"/>
      <c r="D86" s="1415"/>
      <c r="E86" s="1415"/>
      <c r="F86" s="1415"/>
      <c r="G86" s="1415"/>
      <c r="H86" s="1415"/>
      <c r="I86" s="1415"/>
      <c r="J86" s="1415" t="str">
        <f>IF(Feats!G26="","",Feats!M26)</f>
        <v>Skill increase</v>
      </c>
      <c r="K86" s="1415"/>
      <c r="L86" s="1415"/>
      <c r="M86" s="1415"/>
      <c r="N86" s="1416">
        <f>IF(Feats!G26="","",Feats!L26)</f>
        <v>3</v>
      </c>
      <c r="O86" s="1413"/>
      <c r="P86" s="1414" t="str">
        <f>IF(Feats!G50="","",Feats!G50)</f>
        <v/>
      </c>
      <c r="Q86" s="1415"/>
      <c r="R86" s="1415"/>
      <c r="S86" s="1415"/>
      <c r="T86" s="1415"/>
      <c r="U86" s="1415"/>
      <c r="V86" s="1415"/>
      <c r="W86" s="1415"/>
      <c r="X86" s="1415" t="str">
        <f>IF(Feats!G50="","",Feats!M50)</f>
        <v/>
      </c>
      <c r="Y86" s="1415"/>
      <c r="Z86" s="1415"/>
      <c r="AA86" s="1415"/>
      <c r="AB86" s="1416" t="str">
        <f>IF(Feats!G50="","",Feats!L50)</f>
        <v/>
      </c>
      <c r="AC86" s="637"/>
    </row>
    <row r="87" spans="1:29" ht="19.5" customHeight="1" x14ac:dyDescent="0.25">
      <c r="A87" s="656"/>
      <c r="B87" s="1414" t="str">
        <f>IF(Feats!G27="","",Feats!G27)</f>
        <v>Bon Mot (T Diplomacy)</v>
      </c>
      <c r="C87" s="1415"/>
      <c r="D87" s="1415"/>
      <c r="E87" s="1415"/>
      <c r="F87" s="1415"/>
      <c r="G87" s="1415"/>
      <c r="H87" s="1415"/>
      <c r="I87" s="1415"/>
      <c r="J87" s="1415" t="str">
        <f>IF(Feats!G27="","",Feats!M27)</f>
        <v>Skill feat (Rogue)</v>
      </c>
      <c r="K87" s="1415"/>
      <c r="L87" s="1415"/>
      <c r="M87" s="1415"/>
      <c r="N87" s="1416">
        <f>IF(Feats!G27="","",Feats!L27)</f>
        <v>3</v>
      </c>
      <c r="O87" s="1413"/>
      <c r="P87" s="1414"/>
      <c r="Q87" s="1415"/>
      <c r="R87" s="1415"/>
      <c r="S87" s="1415"/>
      <c r="T87" s="1415"/>
      <c r="U87" s="1415"/>
      <c r="V87" s="1415"/>
      <c r="W87" s="1415"/>
      <c r="X87" s="1415"/>
      <c r="Y87" s="1415"/>
      <c r="Z87" s="1415"/>
      <c r="AA87" s="1415"/>
      <c r="AB87" s="1417"/>
      <c r="AC87" s="637"/>
    </row>
    <row r="88" spans="1:29" ht="19.5" customHeight="1" x14ac:dyDescent="0.25">
      <c r="A88" s="656"/>
      <c r="B88" s="1418" t="str">
        <f>IF(Feats!G28="","",Feats!G28)</f>
        <v>Lie to Me (T Deception)</v>
      </c>
      <c r="C88" s="1419"/>
      <c r="D88" s="1419"/>
      <c r="E88" s="1419"/>
      <c r="F88" s="1419"/>
      <c r="G88" s="1419"/>
      <c r="H88" s="1419"/>
      <c r="I88" s="1420"/>
      <c r="J88" s="1419" t="str">
        <f>IF(Feats!G28="","",Feats!M28)</f>
        <v>Skill feat</v>
      </c>
      <c r="K88" s="1420"/>
      <c r="L88" s="1419"/>
      <c r="M88" s="1419"/>
      <c r="N88" s="1421">
        <f>IF(Feats!G28="","",Feats!L28)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customHeight="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customHeight="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customHeight="1" x14ac:dyDescent="0.3">
      <c r="A92" s="643"/>
      <c r="B92" s="490"/>
      <c r="C92" s="490"/>
      <c r="D92" s="489" t="s">
        <v>324</v>
      </c>
      <c r="E92" s="490"/>
      <c r="F92" s="490"/>
      <c r="G92" s="490"/>
      <c r="H92" s="490"/>
      <c r="I92" s="489" t="s">
        <v>79</v>
      </c>
      <c r="J92" s="490"/>
      <c r="K92" s="640" t="s">
        <v>490</v>
      </c>
      <c r="L92" s="490"/>
      <c r="M92" s="669" t="s">
        <v>554</v>
      </c>
      <c r="N92" s="701" t="str">
        <f>IF(Spells!G17="","",Spells!G17)</f>
        <v/>
      </c>
      <c r="O92" s="702" t="str">
        <f>IF(Spells!G18="","",Spells!G18)</f>
        <v/>
      </c>
      <c r="P92" s="702" t="str">
        <f>IF(Spells!G19="","",Spells!G19)</f>
        <v/>
      </c>
      <c r="Q92" s="702" t="str">
        <f>IF(Spells!G20="","",Spells!G20)</f>
        <v/>
      </c>
      <c r="R92" s="702"/>
      <c r="S92" s="703"/>
      <c r="T92" s="703" t="str">
        <f>IF(Spells!G23="","",Spells!G23)</f>
        <v/>
      </c>
      <c r="U92" s="703" t="str">
        <f>IF(Spells!G24="","",Spells!G24)</f>
        <v/>
      </c>
      <c r="V92" s="703" t="str">
        <f>IF(Spells!G25="","",Spells!G25)</f>
        <v/>
      </c>
      <c r="W92" s="1226" t="str">
        <f>IF(Spells!G26="","",Spells!G26)</f>
        <v/>
      </c>
      <c r="X92" s="490"/>
      <c r="Y92" s="1265" t="s">
        <v>983</v>
      </c>
      <c r="Z92" s="490"/>
      <c r="AA92" s="490"/>
      <c r="AB92" s="490"/>
      <c r="AC92" s="637"/>
    </row>
    <row r="93" spans="1:29" ht="19.5" customHeight="1" x14ac:dyDescent="0.25">
      <c r="A93" s="643"/>
      <c r="B93" s="768">
        <f>Skills!G38</f>
        <v>11</v>
      </c>
      <c r="C93" s="704" t="s">
        <v>502</v>
      </c>
      <c r="D93" s="705">
        <f>Skills!G207</f>
        <v>7</v>
      </c>
      <c r="E93" s="706" t="str">
        <f>Skills!G165</f>
        <v>Trained</v>
      </c>
      <c r="F93" s="1466"/>
      <c r="G93" s="707" t="s">
        <v>499</v>
      </c>
      <c r="H93" s="705">
        <f>Skills!G70</f>
        <v>4</v>
      </c>
      <c r="I93" s="708" t="str">
        <f>Skills!G71</f>
        <v>CHA</v>
      </c>
      <c r="J93" s="490"/>
      <c r="K93" s="771">
        <f>Spells!G4</f>
        <v>3</v>
      </c>
      <c r="L93" s="490"/>
      <c r="M93" s="669" t="s">
        <v>490</v>
      </c>
      <c r="N93" s="492">
        <v>1</v>
      </c>
      <c r="O93" s="457">
        <v>2</v>
      </c>
      <c r="P93" s="457">
        <v>3</v>
      </c>
      <c r="Q93" s="457">
        <v>4</v>
      </c>
      <c r="R93" s="457">
        <v>5</v>
      </c>
      <c r="S93" s="457">
        <v>6</v>
      </c>
      <c r="T93" s="457">
        <v>7</v>
      </c>
      <c r="U93" s="457">
        <v>8</v>
      </c>
      <c r="V93" s="448">
        <v>9</v>
      </c>
      <c r="W93" s="1224">
        <v>10</v>
      </c>
      <c r="X93" s="490"/>
      <c r="Y93" s="771">
        <f>Spells!G16</f>
        <v>0</v>
      </c>
      <c r="Z93" s="490"/>
      <c r="AA93" s="490"/>
      <c r="AB93" s="490"/>
      <c r="AC93" s="637"/>
    </row>
    <row r="94" spans="1:29" ht="19.5" customHeight="1" x14ac:dyDescent="0.3">
      <c r="A94" s="596"/>
      <c r="B94" s="769">
        <f>Skills!G39</f>
        <v>21</v>
      </c>
      <c r="C94" s="709" t="s">
        <v>552</v>
      </c>
      <c r="D94" s="710">
        <f>Skills!G208</f>
        <v>7</v>
      </c>
      <c r="E94" s="711" t="str">
        <f>Skills!G167</f>
        <v>Trained</v>
      </c>
      <c r="F94" s="1420"/>
      <c r="G94" s="712" t="s">
        <v>499</v>
      </c>
      <c r="H94" s="710">
        <f>Skills!G70</f>
        <v>4</v>
      </c>
      <c r="I94" s="713" t="str">
        <f>Skills!G71</f>
        <v>CHA</v>
      </c>
      <c r="J94" s="490"/>
      <c r="K94" s="130"/>
      <c r="L94" s="493"/>
      <c r="M94" s="670" t="s">
        <v>459</v>
      </c>
      <c r="N94" s="698" t="str">
        <f>IF(Spells!G6="","",Spells!G6)</f>
        <v/>
      </c>
      <c r="O94" s="699" t="str">
        <f>IF(Spells!G7="","",Spells!G7)</f>
        <v/>
      </c>
      <c r="P94" s="699" t="str">
        <f>IF(Spells!G8="","",Spells!G8)</f>
        <v/>
      </c>
      <c r="Q94" s="699" t="str">
        <f>IF(Spells!G9="","",Spells!G9)</f>
        <v/>
      </c>
      <c r="R94" s="699"/>
      <c r="S94" s="699"/>
      <c r="T94" s="699"/>
      <c r="U94" s="699"/>
      <c r="V94" s="700"/>
      <c r="W94" s="1225"/>
      <c r="X94" s="671"/>
      <c r="Y94" s="130"/>
      <c r="Z94" s="490"/>
      <c r="AA94" s="490"/>
      <c r="AB94" s="490"/>
      <c r="AC94" s="637"/>
    </row>
    <row r="95" spans="1:29" s="450" customFormat="1" ht="19.5" hidden="1" customHeight="1" outlineLevel="1" x14ac:dyDescent="0.3">
      <c r="A95" s="672"/>
      <c r="B95" s="673" t="s">
        <v>555</v>
      </c>
      <c r="C95" s="674"/>
      <c r="D95" s="674"/>
      <c r="E95" s="674"/>
      <c r="F95" s="674"/>
      <c r="G95" s="674"/>
      <c r="H95" s="674"/>
      <c r="I95" s="674"/>
      <c r="J95" s="674"/>
      <c r="M95" s="670" t="s">
        <v>936</v>
      </c>
      <c r="N95" s="1218" t="str">
        <f>IF(Spells!G27="","",Spells!G27)</f>
        <v/>
      </c>
      <c r="O95" s="1219" t="str">
        <f>IF(Spells!G28="","",Spells!G28)</f>
        <v/>
      </c>
      <c r="P95" s="1219" t="str">
        <f>IF(Spells!G29="","",Spells!G29)</f>
        <v/>
      </c>
      <c r="Q95" s="1219" t="str">
        <f>IF(Spells!G30="","",Spells!G30)</f>
        <v/>
      </c>
      <c r="R95" s="1219" t="str">
        <f>IF(Spells!G31="","",Spells!G31)</f>
        <v/>
      </c>
      <c r="S95" s="1220" t="str">
        <f>IF(Spells!G32="","",Spells!G32)</f>
        <v/>
      </c>
      <c r="T95" s="1220" t="str">
        <f>IF(Spells!G33="","",Spells!G33)</f>
        <v/>
      </c>
      <c r="U95" s="1220" t="str">
        <f>IF(Spells!G34="","",Spells!G34)</f>
        <v/>
      </c>
      <c r="V95" s="1220" t="str">
        <f>IF(Spells!G35="","",Spells!G35)</f>
        <v/>
      </c>
      <c r="W95" s="1222" t="str">
        <f>IF(Spells!G36="","",Spells!G36)</f>
        <v/>
      </c>
      <c r="AB95" s="641"/>
      <c r="AC95" s="642"/>
    </row>
    <row r="96" spans="1:29" s="627" customFormat="1" ht="19.5" hidden="1" customHeight="1" outlineLevel="1" x14ac:dyDescent="0.3">
      <c r="A96" s="596"/>
      <c r="B96" s="838" t="str">
        <f>IF(Feats!G14="","",Feats!G14)</f>
        <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s="627" customFormat="1" ht="19.5" hidden="1" customHeight="1" outlineLevel="1" x14ac:dyDescent="0.3">
      <c r="A97" s="596"/>
      <c r="B97" s="676" t="s">
        <v>557</v>
      </c>
      <c r="C97" s="130"/>
      <c r="D97" s="130"/>
      <c r="E97" s="674"/>
      <c r="F97" s="491">
        <f>IF(Spells!G5="","",Spells!G5)</f>
        <v>1</v>
      </c>
      <c r="G97" s="130"/>
      <c r="H97" s="674"/>
      <c r="I97" s="674"/>
      <c r="J97" s="130"/>
      <c r="K97" s="1423" t="str">
        <f>IF(Spells!G98="","","["&amp;Spells!G98&amp;"] "&amp;Spells!G99&amp;" ["&amp;Spells!G101&amp;"]")</f>
        <v/>
      </c>
      <c r="L97" s="1424"/>
      <c r="M97" s="1425"/>
      <c r="N97" s="1425"/>
      <c r="O97" s="1425"/>
      <c r="P97" s="1425"/>
      <c r="Q97" s="1425"/>
      <c r="R97" s="1426"/>
      <c r="S97" s="1404"/>
      <c r="T97" s="1427"/>
      <c r="U97" s="1424"/>
      <c r="V97" s="747"/>
      <c r="W97" s="747"/>
      <c r="X97" s="747"/>
      <c r="Y97" s="747"/>
      <c r="Z97" s="747"/>
      <c r="AA97" s="1350"/>
      <c r="AB97" s="838"/>
      <c r="AC97" s="637"/>
    </row>
    <row r="98" spans="1:29" s="627" customFormat="1" ht="19.5" hidden="1" customHeight="1" outlineLevel="1" x14ac:dyDescent="0.25">
      <c r="A98" s="596"/>
      <c r="B98" s="676" t="s">
        <v>165</v>
      </c>
      <c r="C98" s="130"/>
      <c r="D98" s="130"/>
      <c r="E98" s="130"/>
      <c r="F98" s="130"/>
      <c r="G98" s="130"/>
      <c r="H98" s="130"/>
      <c r="I98" s="130"/>
      <c r="J98" s="130"/>
      <c r="K98" s="1428" t="str">
        <f>IF(Spells!G100="","",Spells!G100)</f>
        <v/>
      </c>
      <c r="L98" s="749"/>
      <c r="M98" s="1429"/>
      <c r="N98" s="1429"/>
      <c r="O98" s="1429"/>
      <c r="P98" s="1429"/>
      <c r="Q98" s="1430"/>
      <c r="R98" s="1431"/>
      <c r="S98" s="1432"/>
      <c r="T98" s="1433"/>
      <c r="U98" s="749"/>
      <c r="V98" s="1434"/>
      <c r="W98" s="1434"/>
      <c r="X98" s="1434"/>
      <c r="Y98" s="1434"/>
      <c r="Z98" s="1434"/>
      <c r="AA98" s="1435"/>
      <c r="AB98" s="838"/>
      <c r="AC98" s="637"/>
    </row>
    <row r="99" spans="1:29" s="627" customFormat="1" ht="19.5" hidden="1" customHeight="1" outlineLevel="1" x14ac:dyDescent="0.25">
      <c r="A99" s="596"/>
      <c r="B99" s="1449" t="str">
        <f>IF(Spells!G54="","","["&amp;Spells!G54&amp;"] "&amp;Spells!G55&amp;" ["&amp;Spells!G57&amp;"]")</f>
        <v/>
      </c>
      <c r="C99" s="1330"/>
      <c r="D99" s="1330"/>
      <c r="E99" s="1450"/>
      <c r="F99" s="1450"/>
      <c r="G99" s="1451"/>
      <c r="H99" s="1452"/>
      <c r="I99" s="1453"/>
      <c r="J99" s="130"/>
      <c r="K99" s="1436" t="str">
        <f>IF(Spells!G102="","","["&amp;Spells!G102&amp;"] "&amp;Spells!G103&amp;" ["&amp;Spells!G105&amp;"]")</f>
        <v/>
      </c>
      <c r="L99" s="749"/>
      <c r="M99" s="1429"/>
      <c r="N99" s="1429"/>
      <c r="O99" s="1429"/>
      <c r="P99" s="1429"/>
      <c r="Q99" s="1430"/>
      <c r="R99" s="1431"/>
      <c r="S99" s="1432"/>
      <c r="T99" s="1433"/>
      <c r="U99" s="749"/>
      <c r="V99" s="1434"/>
      <c r="W99" s="1434"/>
      <c r="X99" s="1434"/>
      <c r="Y99" s="1434"/>
      <c r="Z99" s="1434"/>
      <c r="AA99" s="1435"/>
      <c r="AB99" s="838"/>
      <c r="AC99" s="637"/>
    </row>
    <row r="100" spans="1:29" s="627" customFormat="1" ht="19.5" hidden="1" customHeight="1" outlineLevel="1" x14ac:dyDescent="0.25">
      <c r="A100" s="596"/>
      <c r="B100" s="1454" t="str">
        <f>IF(Spells!G56="","",Spells!G56)</f>
        <v/>
      </c>
      <c r="C100" s="1334"/>
      <c r="D100" s="1334"/>
      <c r="E100" s="1455"/>
      <c r="F100" s="1455"/>
      <c r="G100" s="1455"/>
      <c r="H100" s="1456"/>
      <c r="I100" s="1457"/>
      <c r="J100" s="130"/>
      <c r="K100" s="1428" t="str">
        <f>IF(Spells!G104="","",Spells!G104)</f>
        <v/>
      </c>
      <c r="L100" s="749"/>
      <c r="M100" s="1429"/>
      <c r="N100" s="1429"/>
      <c r="O100" s="1429"/>
      <c r="P100" s="1429"/>
      <c r="Q100" s="1430"/>
      <c r="R100" s="1431"/>
      <c r="S100" s="1432"/>
      <c r="T100" s="1433"/>
      <c r="U100" s="749"/>
      <c r="V100" s="1434"/>
      <c r="W100" s="1434"/>
      <c r="X100" s="1434"/>
      <c r="Y100" s="1434"/>
      <c r="Z100" s="1434"/>
      <c r="AA100" s="1435"/>
      <c r="AB100" s="838"/>
      <c r="AC100" s="637"/>
    </row>
    <row r="101" spans="1:29" s="627" customFormat="1" ht="19.5" hidden="1" customHeight="1" outlineLevel="1" x14ac:dyDescent="0.25">
      <c r="A101" s="596"/>
      <c r="B101" s="1458" t="str">
        <f>IF(Spells!G58="","","["&amp;Spells!G58&amp;"] "&amp;Spells!G59&amp;" ["&amp;Spells!G61&amp;"]")</f>
        <v/>
      </c>
      <c r="C101" s="1335"/>
      <c r="D101" s="1334"/>
      <c r="E101" s="1455"/>
      <c r="F101" s="1456"/>
      <c r="G101" s="1455"/>
      <c r="H101" s="1459"/>
      <c r="I101" s="1457"/>
      <c r="J101" s="130"/>
      <c r="K101" s="1436" t="str">
        <f>IF(Spells!G106="","","["&amp;Spells!G106&amp;"] "&amp;Spells!G107&amp;" ["&amp;Spells!G109&amp;"]")</f>
        <v/>
      </c>
      <c r="L101" s="749"/>
      <c r="M101" s="1429"/>
      <c r="N101" s="1429"/>
      <c r="O101" s="1429"/>
      <c r="P101" s="1429"/>
      <c r="Q101" s="1430"/>
      <c r="R101" s="1431"/>
      <c r="S101" s="1432"/>
      <c r="T101" s="1433"/>
      <c r="U101" s="749"/>
      <c r="V101" s="1434"/>
      <c r="W101" s="1434"/>
      <c r="X101" s="1434"/>
      <c r="Y101" s="1434"/>
      <c r="Z101" s="1434"/>
      <c r="AA101" s="1435"/>
      <c r="AB101" s="838"/>
      <c r="AC101" s="637"/>
    </row>
    <row r="102" spans="1:29" s="627" customFormat="1" ht="19.5" hidden="1" customHeight="1" outlineLevel="1" x14ac:dyDescent="0.25">
      <c r="A102" s="596"/>
      <c r="B102" s="1454" t="str">
        <f>IF(Spells!G60="","",Spells!G60)</f>
        <v/>
      </c>
      <c r="C102" s="1460"/>
      <c r="D102" s="1334"/>
      <c r="E102" s="1455"/>
      <c r="F102" s="1456"/>
      <c r="G102" s="1455"/>
      <c r="H102" s="1456"/>
      <c r="I102" s="1457"/>
      <c r="J102" s="130"/>
      <c r="K102" s="1428" t="str">
        <f>IF(Spells!G108="","",Spells!G108)</f>
        <v/>
      </c>
      <c r="L102" s="749"/>
      <c r="M102" s="1429"/>
      <c r="N102" s="1429"/>
      <c r="O102" s="1429"/>
      <c r="P102" s="1429"/>
      <c r="Q102" s="1430"/>
      <c r="R102" s="1431"/>
      <c r="S102" s="1432"/>
      <c r="T102" s="1433"/>
      <c r="U102" s="749"/>
      <c r="V102" s="1434"/>
      <c r="W102" s="1434"/>
      <c r="X102" s="1434"/>
      <c r="Y102" s="1434"/>
      <c r="Z102" s="1434"/>
      <c r="AA102" s="1435"/>
      <c r="AB102" s="838"/>
      <c r="AC102" s="637"/>
    </row>
    <row r="103" spans="1:29" s="627" customFormat="1" ht="19.5" hidden="1" customHeight="1" outlineLevel="1" x14ac:dyDescent="0.25">
      <c r="A103" s="596"/>
      <c r="B103" s="1458" t="str">
        <f>IF(Spells!G62="","","["&amp;Spells!G62&amp;"] "&amp;Spells!G63&amp;" ["&amp;Spells!G65&amp;"]")</f>
        <v/>
      </c>
      <c r="C103" s="1335"/>
      <c r="D103" s="1334"/>
      <c r="E103" s="1455"/>
      <c r="F103" s="1456"/>
      <c r="G103" s="1455"/>
      <c r="H103" s="1459"/>
      <c r="I103" s="1457"/>
      <c r="J103" s="130"/>
      <c r="K103" s="1436" t="str">
        <f>IF(Spells!G110="","","["&amp;Spells!G110&amp;"] "&amp;Spells!G111&amp;" ["&amp;Spells!G113&amp;"]")</f>
        <v/>
      </c>
      <c r="L103" s="749"/>
      <c r="M103" s="1429"/>
      <c r="N103" s="1429"/>
      <c r="O103" s="1429"/>
      <c r="P103" s="1429"/>
      <c r="Q103" s="1430"/>
      <c r="R103" s="1431"/>
      <c r="S103" s="1432"/>
      <c r="T103" s="1433"/>
      <c r="U103" s="749"/>
      <c r="V103" s="1434"/>
      <c r="W103" s="1434"/>
      <c r="X103" s="1434"/>
      <c r="Y103" s="1434"/>
      <c r="Z103" s="1434"/>
      <c r="AA103" s="1435"/>
      <c r="AB103" s="838"/>
      <c r="AC103" s="637"/>
    </row>
    <row r="104" spans="1:29" s="627" customFormat="1" ht="19.5" hidden="1" customHeight="1" outlineLevel="1" x14ac:dyDescent="0.25">
      <c r="A104" s="596"/>
      <c r="B104" s="1454" t="str">
        <f>IF(Spells!G64="","",Spells!G64)</f>
        <v/>
      </c>
      <c r="C104" s="1460"/>
      <c r="D104" s="1334"/>
      <c r="E104" s="1455"/>
      <c r="F104" s="1456"/>
      <c r="G104" s="1455"/>
      <c r="H104" s="1456"/>
      <c r="I104" s="1457"/>
      <c r="J104" s="130"/>
      <c r="K104" s="1428" t="str">
        <f>IF(Spells!G112="","",Spells!G112)</f>
        <v/>
      </c>
      <c r="L104" s="749"/>
      <c r="M104" s="1429"/>
      <c r="N104" s="1429"/>
      <c r="O104" s="1429"/>
      <c r="P104" s="1430"/>
      <c r="Q104" s="1430"/>
      <c r="R104" s="1431"/>
      <c r="S104" s="1432"/>
      <c r="T104" s="1433"/>
      <c r="U104" s="749"/>
      <c r="V104" s="1434"/>
      <c r="W104" s="1434"/>
      <c r="X104" s="1434"/>
      <c r="Y104" s="1434"/>
      <c r="Z104" s="1434"/>
      <c r="AA104" s="1435"/>
      <c r="AB104" s="838"/>
      <c r="AC104" s="637"/>
    </row>
    <row r="105" spans="1:29" s="627" customFormat="1" ht="19.5" hidden="1" customHeight="1" outlineLevel="1" x14ac:dyDescent="0.25">
      <c r="A105" s="596"/>
      <c r="B105" s="1458" t="str">
        <f>IF(Spells!G66="","","["&amp;Spells!G66&amp;"] "&amp;Spells!G67&amp;" ["&amp;Spells!G69&amp;"]")</f>
        <v/>
      </c>
      <c r="C105" s="1335"/>
      <c r="D105" s="1334"/>
      <c r="E105" s="1455"/>
      <c r="F105" s="1456"/>
      <c r="G105" s="1455"/>
      <c r="H105" s="1459"/>
      <c r="I105" s="1457"/>
      <c r="J105" s="130"/>
      <c r="K105" s="1436" t="str">
        <f>IF(Spells!G114="","","["&amp;Spells!G114&amp;"] "&amp;Spells!G115&amp;" ["&amp;Spells!G117&amp;"]")</f>
        <v/>
      </c>
      <c r="L105" s="749"/>
      <c r="M105" s="1429"/>
      <c r="N105" s="1429"/>
      <c r="O105" s="1429"/>
      <c r="P105" s="1430"/>
      <c r="Q105" s="1430"/>
      <c r="R105" s="1431"/>
      <c r="S105" s="1432"/>
      <c r="T105" s="1433"/>
      <c r="U105" s="749"/>
      <c r="V105" s="1434"/>
      <c r="W105" s="1434"/>
      <c r="X105" s="1434"/>
      <c r="Y105" s="1434"/>
      <c r="Z105" s="1434"/>
      <c r="AA105" s="1435"/>
      <c r="AB105" s="838"/>
      <c r="AC105" s="637"/>
    </row>
    <row r="106" spans="1:29" s="627" customFormat="1" ht="19.5" hidden="1" customHeight="1" outlineLevel="1" x14ac:dyDescent="0.25">
      <c r="A106" s="596"/>
      <c r="B106" s="1454" t="str">
        <f>IF(Spells!G68="","",Spells!G68)</f>
        <v/>
      </c>
      <c r="C106" s="1460"/>
      <c r="D106" s="1334"/>
      <c r="E106" s="1455"/>
      <c r="F106" s="1456"/>
      <c r="G106" s="1455"/>
      <c r="H106" s="1456"/>
      <c r="I106" s="1457"/>
      <c r="J106" s="130"/>
      <c r="K106" s="1428" t="str">
        <f>IF(Spells!G116="","",Spells!G116)</f>
        <v/>
      </c>
      <c r="L106" s="749"/>
      <c r="M106" s="1429"/>
      <c r="N106" s="1429"/>
      <c r="O106" s="1429"/>
      <c r="P106" s="1430"/>
      <c r="Q106" s="1430"/>
      <c r="R106" s="1431"/>
      <c r="S106" s="1432"/>
      <c r="T106" s="1433"/>
      <c r="U106" s="749"/>
      <c r="V106" s="1434"/>
      <c r="W106" s="1434"/>
      <c r="X106" s="1434"/>
      <c r="Y106" s="1434"/>
      <c r="Z106" s="1434"/>
      <c r="AA106" s="1435"/>
      <c r="AB106" s="838"/>
      <c r="AC106" s="637"/>
    </row>
    <row r="107" spans="1:29" s="627" customFormat="1" ht="19.5" hidden="1" customHeight="1" outlineLevel="1" x14ac:dyDescent="0.25">
      <c r="A107" s="596"/>
      <c r="B107" s="1458" t="str">
        <f>IF(Spells!G70="","","["&amp;Spells!G70&amp;"] "&amp;Spells!G71&amp;" ["&amp;Spells!G73&amp;"]")</f>
        <v/>
      </c>
      <c r="C107" s="1335"/>
      <c r="D107" s="1334"/>
      <c r="E107" s="1455"/>
      <c r="F107" s="1456"/>
      <c r="G107" s="1455"/>
      <c r="H107" s="1459"/>
      <c r="I107" s="1457"/>
      <c r="J107" s="130"/>
      <c r="K107" s="1436" t="str">
        <f>IF(Spells!G118="","","["&amp;Spells!G118&amp;"] "&amp;Spells!G119&amp;" ["&amp;Spells!G121&amp;"]")</f>
        <v/>
      </c>
      <c r="L107" s="749"/>
      <c r="M107" s="1429"/>
      <c r="N107" s="1429"/>
      <c r="O107" s="1429"/>
      <c r="P107" s="1430"/>
      <c r="Q107" s="1430"/>
      <c r="R107" s="1431"/>
      <c r="S107" s="1432"/>
      <c r="T107" s="1433"/>
      <c r="U107" s="749"/>
      <c r="V107" s="1434"/>
      <c r="W107" s="1434"/>
      <c r="X107" s="1434"/>
      <c r="Y107" s="1434"/>
      <c r="Z107" s="1434"/>
      <c r="AA107" s="1435"/>
      <c r="AB107" s="838"/>
      <c r="AC107" s="637"/>
    </row>
    <row r="108" spans="1:29" s="627" customFormat="1" ht="19.5" hidden="1" customHeight="1" outlineLevel="1" x14ac:dyDescent="0.25">
      <c r="A108" s="596"/>
      <c r="B108" s="1454" t="str">
        <f>IF(Spells!G72="","",Spells!G72)</f>
        <v/>
      </c>
      <c r="C108" s="1460"/>
      <c r="D108" s="1334"/>
      <c r="E108" s="1455"/>
      <c r="F108" s="1456"/>
      <c r="G108" s="1455"/>
      <c r="H108" s="1459"/>
      <c r="I108" s="1457"/>
      <c r="J108" s="130"/>
      <c r="K108" s="1428" t="str">
        <f>IF(Spells!G120="","",Spells!G120)</f>
        <v/>
      </c>
      <c r="L108" s="749"/>
      <c r="M108" s="1429"/>
      <c r="N108" s="1429"/>
      <c r="O108" s="1429"/>
      <c r="P108" s="1430"/>
      <c r="Q108" s="1430"/>
      <c r="R108" s="1431"/>
      <c r="S108" s="1432"/>
      <c r="T108" s="1433"/>
      <c r="U108" s="749"/>
      <c r="V108" s="1434"/>
      <c r="W108" s="1434"/>
      <c r="X108" s="1434"/>
      <c r="Y108" s="1434"/>
      <c r="Z108" s="1434"/>
      <c r="AA108" s="1435"/>
      <c r="AB108" s="838"/>
      <c r="AC108" s="637"/>
    </row>
    <row r="109" spans="1:29" s="627" customFormat="1" ht="19.5" hidden="1" customHeight="1" outlineLevel="1" x14ac:dyDescent="0.25">
      <c r="A109" s="596"/>
      <c r="B109" s="1458" t="str">
        <f>IF(Spells!G74="","","["&amp;Spells!G74&amp;"] "&amp;Spells!G75&amp;" ["&amp;Spells!G77&amp;"]")</f>
        <v/>
      </c>
      <c r="C109" s="1335"/>
      <c r="D109" s="1334"/>
      <c r="E109" s="1455"/>
      <c r="F109" s="1455"/>
      <c r="G109" s="1455"/>
      <c r="H109" s="1459"/>
      <c r="I109" s="1457"/>
      <c r="J109" s="130"/>
      <c r="K109" s="1436" t="str">
        <f>IF(Spells!G122="","","["&amp;Spells!G122&amp;"] "&amp;Spells!G123&amp;" ["&amp;Spells!G125&amp;"]")</f>
        <v/>
      </c>
      <c r="L109" s="749"/>
      <c r="M109" s="1429"/>
      <c r="N109" s="1429"/>
      <c r="O109" s="1429"/>
      <c r="P109" s="1430"/>
      <c r="Q109" s="1430"/>
      <c r="R109" s="1431"/>
      <c r="S109" s="1432"/>
      <c r="T109" s="1433"/>
      <c r="U109" s="749"/>
      <c r="V109" s="1434"/>
      <c r="W109" s="1434"/>
      <c r="X109" s="1434"/>
      <c r="Y109" s="1434"/>
      <c r="Z109" s="1434"/>
      <c r="AA109" s="1435"/>
      <c r="AB109" s="838"/>
      <c r="AC109" s="637"/>
    </row>
    <row r="110" spans="1:29" s="627" customFormat="1" ht="19.5" hidden="1" customHeight="1" outlineLevel="1" x14ac:dyDescent="0.25">
      <c r="A110" s="596"/>
      <c r="B110" s="1454" t="str">
        <f>IF(Spells!G76="","",Spells!G76)</f>
        <v/>
      </c>
      <c r="C110" s="1460"/>
      <c r="D110" s="1334"/>
      <c r="E110" s="1455"/>
      <c r="F110" s="1455"/>
      <c r="G110" s="1455"/>
      <c r="H110" s="1459"/>
      <c r="I110" s="1457"/>
      <c r="J110" s="130"/>
      <c r="K110" s="1428" t="str">
        <f>IF(Spells!G124="","",Spells!G124)</f>
        <v/>
      </c>
      <c r="L110" s="749"/>
      <c r="M110" s="1429"/>
      <c r="N110" s="1429"/>
      <c r="O110" s="1429"/>
      <c r="P110" s="1430"/>
      <c r="Q110" s="1430"/>
      <c r="R110" s="1431"/>
      <c r="S110" s="1432"/>
      <c r="T110" s="1433"/>
      <c r="U110" s="749"/>
      <c r="V110" s="1434"/>
      <c r="W110" s="1434"/>
      <c r="X110" s="1434"/>
      <c r="Y110" s="1434"/>
      <c r="Z110" s="1434"/>
      <c r="AA110" s="1435"/>
      <c r="AB110" s="838"/>
      <c r="AC110" s="637"/>
    </row>
    <row r="111" spans="1:29" s="627" customFormat="1" ht="19.5" hidden="1" customHeight="1" outlineLevel="1" x14ac:dyDescent="0.25">
      <c r="A111" s="596"/>
      <c r="B111" s="1458" t="str">
        <f>IF(Spells!G78="","","["&amp;Spells!G78&amp;"] "&amp;Spells!G79&amp;" ["&amp;Spells!G81&amp;"]")</f>
        <v/>
      </c>
      <c r="C111" s="1335"/>
      <c r="D111" s="1334"/>
      <c r="E111" s="1455"/>
      <c r="F111" s="1455"/>
      <c r="G111" s="1455"/>
      <c r="H111" s="1459"/>
      <c r="I111" s="1457"/>
      <c r="J111" s="130"/>
      <c r="K111" s="1437" t="str">
        <f>IF(Spells!G126="","","["&amp;Spells!G126&amp;"] "&amp;Spells!G127&amp;" ["&amp;Spells!G129&amp;"]")</f>
        <v/>
      </c>
      <c r="L111" s="749"/>
      <c r="M111" s="1429"/>
      <c r="N111" s="1429"/>
      <c r="O111" s="1429"/>
      <c r="P111" s="1430"/>
      <c r="Q111" s="1430"/>
      <c r="R111" s="1431"/>
      <c r="S111" s="1432"/>
      <c r="T111" s="1438"/>
      <c r="U111" s="749"/>
      <c r="V111" s="1434"/>
      <c r="W111" s="1434"/>
      <c r="X111" s="1434"/>
      <c r="Y111" s="1434"/>
      <c r="Z111" s="1434"/>
      <c r="AA111" s="1435"/>
      <c r="AB111" s="838"/>
      <c r="AC111" s="637"/>
    </row>
    <row r="112" spans="1:29" s="627" customFormat="1" ht="19.5" hidden="1" customHeight="1" outlineLevel="1" x14ac:dyDescent="0.25">
      <c r="A112" s="596"/>
      <c r="B112" s="1454" t="str">
        <f>IF(Spells!G80="","",Spells!G80)</f>
        <v/>
      </c>
      <c r="C112" s="1335"/>
      <c r="D112" s="1334"/>
      <c r="E112" s="1455"/>
      <c r="F112" s="1455"/>
      <c r="G112" s="1455"/>
      <c r="H112" s="1459"/>
      <c r="I112" s="1457"/>
      <c r="J112" s="130"/>
      <c r="K112" s="1428" t="str">
        <f>IF(Spells!G128="","",Spells!G128)</f>
        <v/>
      </c>
      <c r="L112" s="749"/>
      <c r="M112" s="1429"/>
      <c r="N112" s="1429"/>
      <c r="O112" s="1429"/>
      <c r="P112" s="1430"/>
      <c r="Q112" s="1430"/>
      <c r="R112" s="1431"/>
      <c r="S112" s="1432"/>
      <c r="T112" s="1438"/>
      <c r="U112" s="1439"/>
      <c r="V112" s="1434"/>
      <c r="W112" s="1434"/>
      <c r="X112" s="1434"/>
      <c r="Y112" s="1434"/>
      <c r="Z112" s="1434"/>
      <c r="AA112" s="1435"/>
      <c r="AB112" s="838"/>
      <c r="AC112" s="637"/>
    </row>
    <row r="113" spans="1:29" s="627" customFormat="1" ht="19.5" hidden="1" customHeight="1" outlineLevel="1" x14ac:dyDescent="0.25">
      <c r="A113" s="596"/>
      <c r="B113" s="1458" t="str">
        <f>IF(Spells!G82="","","["&amp;Spells!G82&amp;"] "&amp;Spells!G83&amp;" ["&amp;Spells!G85&amp;"]")</f>
        <v/>
      </c>
      <c r="C113" s="1335"/>
      <c r="D113" s="1334"/>
      <c r="E113" s="1455"/>
      <c r="F113" s="1455"/>
      <c r="G113" s="1455"/>
      <c r="H113" s="1459"/>
      <c r="I113" s="1457"/>
      <c r="J113" s="130"/>
      <c r="K113" s="1446" t="str">
        <f>IF(Spells!G130="","","["&amp;Spells!G130&amp;"] "&amp;Spells!G131&amp;" ["&amp;Spells!G133&amp;"]")</f>
        <v/>
      </c>
      <c r="L113" s="749"/>
      <c r="M113" s="1429"/>
      <c r="N113" s="1429"/>
      <c r="O113" s="1429"/>
      <c r="P113" s="1430"/>
      <c r="Q113" s="1430"/>
      <c r="R113" s="1431"/>
      <c r="S113" s="1432"/>
      <c r="T113" s="1438"/>
      <c r="U113" s="1439"/>
      <c r="V113" s="1434"/>
      <c r="W113" s="1434"/>
      <c r="X113" s="1434"/>
      <c r="Y113" s="1434"/>
      <c r="Z113" s="1434"/>
      <c r="AA113" s="1435"/>
      <c r="AB113" s="838"/>
      <c r="AC113" s="637"/>
    </row>
    <row r="114" spans="1:29" s="627" customFormat="1" ht="19.5" hidden="1" customHeight="1" outlineLevel="1" x14ac:dyDescent="0.25">
      <c r="A114" s="596"/>
      <c r="B114" s="1454" t="str">
        <f>IF(Spells!G84="","",Spells!G84)</f>
        <v/>
      </c>
      <c r="C114" s="1335"/>
      <c r="D114" s="1334"/>
      <c r="E114" s="1455"/>
      <c r="F114" s="1455"/>
      <c r="G114" s="1455"/>
      <c r="H114" s="1459"/>
      <c r="I114" s="1457"/>
      <c r="J114" s="130"/>
      <c r="K114" s="1428" t="str">
        <f>IF(Spells!G132="","",Spells!G132)</f>
        <v/>
      </c>
      <c r="L114" s="1439"/>
      <c r="M114" s="1429"/>
      <c r="N114" s="1429"/>
      <c r="O114" s="1429"/>
      <c r="P114" s="1430"/>
      <c r="Q114" s="1430"/>
      <c r="R114" s="1431"/>
      <c r="S114" s="1432"/>
      <c r="T114" s="1438"/>
      <c r="U114" s="1439"/>
      <c r="V114" s="1434"/>
      <c r="W114" s="1434"/>
      <c r="X114" s="1434"/>
      <c r="Y114" s="1434"/>
      <c r="Z114" s="1434"/>
      <c r="AA114" s="1435"/>
      <c r="AB114" s="838"/>
      <c r="AC114" s="637"/>
    </row>
    <row r="115" spans="1:29" s="627" customFormat="1" ht="19.5" hidden="1" customHeight="1" outlineLevel="1" x14ac:dyDescent="0.25">
      <c r="A115" s="596"/>
      <c r="B115" s="1458" t="str">
        <f>IF(Spells!G86="","","["&amp;Spells!G86&amp;"] "&amp;Spells!G87&amp;" ["&amp;Spells!G89&amp;"]")</f>
        <v/>
      </c>
      <c r="C115" s="1335"/>
      <c r="D115" s="1334"/>
      <c r="E115" s="1455"/>
      <c r="F115" s="1455"/>
      <c r="G115" s="1455"/>
      <c r="H115" s="1459"/>
      <c r="I115" s="1457"/>
      <c r="J115" s="130"/>
      <c r="K115" s="1437" t="str">
        <f>IF(Spells!G134="","","["&amp;Spells!G134&amp;"] "&amp;Spells!G135&amp;" ["&amp;Spells!G137&amp;"]")</f>
        <v/>
      </c>
      <c r="L115" s="1439"/>
      <c r="M115" s="1429"/>
      <c r="N115" s="1429"/>
      <c r="O115" s="1429"/>
      <c r="P115" s="1430"/>
      <c r="Q115" s="1430"/>
      <c r="R115" s="1431"/>
      <c r="S115" s="1432"/>
      <c r="T115" s="1438"/>
      <c r="U115" s="1439"/>
      <c r="V115" s="1434"/>
      <c r="W115" s="1434"/>
      <c r="X115" s="1434"/>
      <c r="Y115" s="1434"/>
      <c r="Z115" s="1434"/>
      <c r="AA115" s="1435"/>
      <c r="AB115" s="838"/>
      <c r="AC115" s="637"/>
    </row>
    <row r="116" spans="1:29" s="627" customFormat="1" ht="19.5" hidden="1" customHeight="1" outlineLevel="1" x14ac:dyDescent="0.25">
      <c r="A116" s="596"/>
      <c r="B116" s="1454" t="str">
        <f>IF(Spells!G88="","",Spells!G88)</f>
        <v/>
      </c>
      <c r="C116" s="1335"/>
      <c r="D116" s="1334"/>
      <c r="E116" s="1455"/>
      <c r="F116" s="1455"/>
      <c r="G116" s="1455"/>
      <c r="H116" s="1459"/>
      <c r="I116" s="1457"/>
      <c r="J116" s="130"/>
      <c r="K116" s="1428" t="str">
        <f>IF(Spells!G136="","",Spells!G136)</f>
        <v/>
      </c>
      <c r="L116" s="1439"/>
      <c r="M116" s="1429"/>
      <c r="N116" s="1429"/>
      <c r="O116" s="1429"/>
      <c r="P116" s="1430"/>
      <c r="Q116" s="1430"/>
      <c r="R116" s="1431"/>
      <c r="S116" s="1432"/>
      <c r="T116" s="1438"/>
      <c r="U116" s="1439"/>
      <c r="V116" s="1434"/>
      <c r="W116" s="1434"/>
      <c r="X116" s="1434"/>
      <c r="Y116" s="1434"/>
      <c r="Z116" s="1434"/>
      <c r="AA116" s="1435"/>
      <c r="AB116" s="838"/>
      <c r="AC116" s="637"/>
    </row>
    <row r="117" spans="1:29" s="627" customFormat="1" ht="19.5" hidden="1" customHeight="1" outlineLevel="1" x14ac:dyDescent="0.25">
      <c r="A117" s="596"/>
      <c r="B117" s="1458" t="str">
        <f>IF(Spells!G90="","","["&amp;Spells!G90&amp;"] "&amp;Spells!G91&amp;" ["&amp;Spells!G93&amp;"]")</f>
        <v/>
      </c>
      <c r="C117" s="1335"/>
      <c r="D117" s="1334"/>
      <c r="E117" s="1455"/>
      <c r="F117" s="1455"/>
      <c r="G117" s="1455"/>
      <c r="H117" s="1459"/>
      <c r="I117" s="1457"/>
      <c r="J117" s="130"/>
      <c r="K117" s="1437" t="str">
        <f>IF(Spells!G138="","","["&amp;Spells!G138&amp;"] "&amp;Spells!G139&amp;" ["&amp;Spells!G141&amp;"]")</f>
        <v/>
      </c>
      <c r="L117" s="1439"/>
      <c r="M117" s="1429"/>
      <c r="N117" s="1429"/>
      <c r="O117" s="1429"/>
      <c r="P117" s="1430"/>
      <c r="Q117" s="1430"/>
      <c r="R117" s="1431"/>
      <c r="S117" s="1432"/>
      <c r="T117" s="1438"/>
      <c r="U117" s="1439"/>
      <c r="V117" s="1434"/>
      <c r="W117" s="1434"/>
      <c r="X117" s="1434"/>
      <c r="Y117" s="1434"/>
      <c r="Z117" s="1434"/>
      <c r="AA117" s="1435"/>
      <c r="AB117" s="838"/>
      <c r="AC117" s="637"/>
    </row>
    <row r="118" spans="1:29" s="627" customFormat="1" ht="19.5" hidden="1" customHeight="1" outlineLevel="1" x14ac:dyDescent="0.25">
      <c r="A118" s="596"/>
      <c r="B118" s="1454" t="str">
        <f>IF(Spells!G92="","",Spells!G92)</f>
        <v/>
      </c>
      <c r="C118" s="1335"/>
      <c r="D118" s="1334"/>
      <c r="E118" s="1455"/>
      <c r="F118" s="1455"/>
      <c r="G118" s="1455"/>
      <c r="H118" s="1459"/>
      <c r="I118" s="1457"/>
      <c r="J118" s="130"/>
      <c r="K118" s="1428" t="str">
        <f>IF(Spells!G140="","",Spells!G140)</f>
        <v/>
      </c>
      <c r="L118" s="1439"/>
      <c r="M118" s="1429"/>
      <c r="N118" s="1429"/>
      <c r="O118" s="1429"/>
      <c r="P118" s="1430"/>
      <c r="Q118" s="1430"/>
      <c r="R118" s="1431"/>
      <c r="S118" s="1432"/>
      <c r="T118" s="1438"/>
      <c r="U118" s="1439"/>
      <c r="V118" s="1434"/>
      <c r="W118" s="1434"/>
      <c r="X118" s="1434"/>
      <c r="Y118" s="1434"/>
      <c r="Z118" s="1434"/>
      <c r="AA118" s="1435"/>
      <c r="AB118" s="838"/>
      <c r="AC118" s="637"/>
    </row>
    <row r="119" spans="1:29" s="627" customFormat="1" ht="19.5" hidden="1" customHeight="1" outlineLevel="1" x14ac:dyDescent="0.25">
      <c r="A119" s="596"/>
      <c r="B119" s="1458" t="str">
        <f>IF(Spells!G94="","","["&amp;Spells!G94&amp;"] "&amp;Spells!G95&amp;" ["&amp;Spells!G97&amp;"]")</f>
        <v/>
      </c>
      <c r="C119" s="1335"/>
      <c r="D119" s="1334"/>
      <c r="E119" s="1455"/>
      <c r="F119" s="1455"/>
      <c r="G119" s="1455"/>
      <c r="H119" s="1459"/>
      <c r="I119" s="1457"/>
      <c r="J119" s="130"/>
      <c r="K119" s="1437" t="str">
        <f>IF(Spells!G142="","","["&amp;Spells!G142&amp;"] "&amp;Spells!G143&amp;" ["&amp;Spells!G145&amp;"]")</f>
        <v/>
      </c>
      <c r="L119" s="1439"/>
      <c r="M119" s="1429"/>
      <c r="N119" s="1429"/>
      <c r="O119" s="1429"/>
      <c r="P119" s="1430"/>
      <c r="Q119" s="1430"/>
      <c r="R119" s="1431"/>
      <c r="S119" s="1432"/>
      <c r="T119" s="1438"/>
      <c r="U119" s="1439"/>
      <c r="V119" s="1434"/>
      <c r="W119" s="1434"/>
      <c r="X119" s="1434"/>
      <c r="Y119" s="1434"/>
      <c r="Z119" s="1434"/>
      <c r="AA119" s="1435"/>
      <c r="AB119" s="838"/>
      <c r="AC119" s="637"/>
    </row>
    <row r="120" spans="1:29" s="627" customFormat="1" ht="19.5" hidden="1" customHeight="1" outlineLevel="1" x14ac:dyDescent="0.25">
      <c r="A120" s="596"/>
      <c r="B120" s="1461" t="str">
        <f>IF(Spells!G96="","",Spells!G96)</f>
        <v/>
      </c>
      <c r="C120" s="1338"/>
      <c r="D120" s="1462"/>
      <c r="E120" s="1463"/>
      <c r="F120" s="1463"/>
      <c r="G120" s="1463"/>
      <c r="H120" s="1464"/>
      <c r="I120" s="1465"/>
      <c r="J120" s="130"/>
      <c r="K120" s="1428" t="str">
        <f>IF(Spells!G144="","",Spells!G144)</f>
        <v/>
      </c>
      <c r="L120" s="1439"/>
      <c r="M120" s="1429"/>
      <c r="N120" s="1429"/>
      <c r="O120" s="1429"/>
      <c r="P120" s="1430"/>
      <c r="Q120" s="1430"/>
      <c r="R120" s="1431"/>
      <c r="S120" s="1432"/>
      <c r="T120" s="1438"/>
      <c r="U120" s="1439"/>
      <c r="V120" s="1434"/>
      <c r="W120" s="1434"/>
      <c r="X120" s="1434"/>
      <c r="Y120" s="1434"/>
      <c r="Z120" s="1434"/>
      <c r="AA120" s="1435"/>
      <c r="AB120" s="838"/>
      <c r="AC120" s="637"/>
    </row>
    <row r="121" spans="1:29" s="627" customFormat="1" ht="19.5" hidden="1" customHeight="1" outlineLevel="1" x14ac:dyDescent="0.25">
      <c r="A121" s="596"/>
      <c r="C121" s="838"/>
      <c r="D121" s="130"/>
      <c r="E121" s="130"/>
      <c r="F121" s="130"/>
      <c r="G121" s="130"/>
      <c r="H121" s="130"/>
      <c r="I121" s="130"/>
      <c r="J121" s="130"/>
      <c r="K121" s="1437" t="str">
        <f>IF(Spells!G146="","","["&amp;Spells!G146&amp;"] "&amp;Spells!G147&amp;" ["&amp;Spells!G149&amp;"]")</f>
        <v/>
      </c>
      <c r="L121" s="1439"/>
      <c r="M121" s="1434"/>
      <c r="N121" s="1434"/>
      <c r="O121" s="1434"/>
      <c r="P121" s="1434"/>
      <c r="Q121" s="1434"/>
      <c r="R121" s="1435"/>
      <c r="S121" s="1432"/>
      <c r="T121" s="1438"/>
      <c r="U121" s="1439"/>
      <c r="V121" s="1434"/>
      <c r="W121" s="1434"/>
      <c r="X121" s="1434"/>
      <c r="Y121" s="1434"/>
      <c r="Z121" s="1434"/>
      <c r="AA121" s="1435"/>
      <c r="AB121" s="838"/>
      <c r="AC121" s="637"/>
    </row>
    <row r="122" spans="1:29" s="627" customFormat="1" ht="19.5" customHeight="1" collapsed="1" x14ac:dyDescent="0.25">
      <c r="A122" s="596"/>
      <c r="B122" s="676" t="s">
        <v>558</v>
      </c>
      <c r="C122" s="457"/>
      <c r="D122" s="496"/>
      <c r="E122" s="457"/>
      <c r="F122" s="456"/>
      <c r="G122" s="496"/>
      <c r="H122" s="495"/>
      <c r="I122" s="456"/>
      <c r="J122" s="130"/>
      <c r="K122" s="1428" t="str">
        <f>IF(Spells!G148="","",Spells!G148)</f>
        <v/>
      </c>
      <c r="L122" s="1439"/>
      <c r="M122" s="1434"/>
      <c r="N122" s="1434"/>
      <c r="O122" s="1434"/>
      <c r="P122" s="1434"/>
      <c r="Q122" s="1434"/>
      <c r="R122" s="1435"/>
      <c r="S122" s="1432"/>
      <c r="T122" s="1438"/>
      <c r="U122" s="1439"/>
      <c r="V122" s="1434"/>
      <c r="W122" s="1434"/>
      <c r="X122" s="1434"/>
      <c r="Y122" s="1434"/>
      <c r="Z122" s="1434"/>
      <c r="AA122" s="1435"/>
      <c r="AB122" s="838"/>
      <c r="AC122" s="637"/>
    </row>
    <row r="123" spans="1:29" s="627" customFormat="1" ht="19.5" customHeight="1" x14ac:dyDescent="0.25">
      <c r="A123" s="596"/>
      <c r="B123" s="1482" t="str">
        <f>IF(Spells!G37="","","["&amp;Spells!G37&amp;"] "&amp;Spells!G38&amp;" ["&amp;Spells!G40&amp;"]")</f>
        <v>[Innate cantrip] Ray of Frost [1/day, 2 (SV)]</v>
      </c>
      <c r="C123" s="1466"/>
      <c r="D123" s="706"/>
      <c r="E123" s="706"/>
      <c r="F123" s="706"/>
      <c r="G123" s="706"/>
      <c r="H123" s="1483"/>
      <c r="I123" s="708"/>
      <c r="J123" s="130"/>
      <c r="K123" s="1437" t="str">
        <f>IF(Spells!G150="","","["&amp;Spells!G150&amp;"] "&amp;Spells!G151&amp;" ["&amp;Spells!G153&amp;"]")</f>
        <v/>
      </c>
      <c r="L123" s="1439"/>
      <c r="M123" s="1434"/>
      <c r="N123" s="1434"/>
      <c r="O123" s="1434"/>
      <c r="P123" s="1434"/>
      <c r="Q123" s="1434"/>
      <c r="R123" s="1435"/>
      <c r="S123" s="1432"/>
      <c r="T123" s="1438"/>
      <c r="U123" s="1439"/>
      <c r="V123" s="1434"/>
      <c r="W123" s="1434"/>
      <c r="X123" s="1434"/>
      <c r="Y123" s="1434"/>
      <c r="Z123" s="1434"/>
      <c r="AA123" s="1435"/>
      <c r="AB123" s="838"/>
      <c r="AC123" s="637"/>
    </row>
    <row r="124" spans="1:29" s="627" customFormat="1" ht="19.5" customHeight="1" x14ac:dyDescent="0.25">
      <c r="A124" s="596"/>
      <c r="B124" s="1484" t="str">
        <f>IF(Spells!G39="","",Spells!G39)</f>
        <v>1 creat, 120', spell att, 3d4+4 cold</v>
      </c>
      <c r="C124" s="1485"/>
      <c r="D124" s="1485"/>
      <c r="E124" s="1485"/>
      <c r="F124" s="1485"/>
      <c r="G124" s="1485"/>
      <c r="H124" s="1486"/>
      <c r="I124" s="1487"/>
      <c r="J124" s="130"/>
      <c r="K124" s="1447" t="str">
        <f>IF(Spells!G152="","",Spells!G152)</f>
        <v/>
      </c>
      <c r="L124" s="1439"/>
      <c r="M124" s="1434"/>
      <c r="N124" s="1434"/>
      <c r="O124" s="1434"/>
      <c r="P124" s="1434"/>
      <c r="Q124" s="1434"/>
      <c r="R124" s="1435"/>
      <c r="S124" s="1432"/>
      <c r="T124" s="1438"/>
      <c r="U124" s="1439"/>
      <c r="V124" s="1434"/>
      <c r="W124" s="1434"/>
      <c r="X124" s="1434"/>
      <c r="Y124" s="1434"/>
      <c r="Z124" s="1434"/>
      <c r="AA124" s="1435"/>
      <c r="AB124" s="838"/>
      <c r="AC124" s="637"/>
    </row>
    <row r="125" spans="1:29" s="627" customFormat="1" ht="19.5" customHeight="1" x14ac:dyDescent="0.25">
      <c r="A125" s="596"/>
      <c r="B125" s="1488" t="str">
        <f>IF(Spells!G41="","","["&amp;Spells!G41&amp;"] "&amp;Spells!G42&amp;" ["&amp;Spells!G44&amp;"]")</f>
        <v/>
      </c>
      <c r="C125" s="1485"/>
      <c r="D125" s="1485"/>
      <c r="E125" s="1485"/>
      <c r="F125" s="1485"/>
      <c r="G125" s="1485"/>
      <c r="H125" s="1489"/>
      <c r="I125" s="1487"/>
      <c r="J125" s="130"/>
      <c r="K125" s="1437" t="str">
        <f>IF(Spells!G154="","","["&amp;Spells!G154&amp;"] "&amp;Spells!G155&amp;" ["&amp;Spells!G157&amp;"]")</f>
        <v/>
      </c>
      <c r="L125" s="1439"/>
      <c r="M125" s="1434"/>
      <c r="N125" s="1434"/>
      <c r="O125" s="1434"/>
      <c r="P125" s="1434"/>
      <c r="Q125" s="1434"/>
      <c r="R125" s="1435"/>
      <c r="S125" s="1432"/>
      <c r="T125" s="1438"/>
      <c r="U125" s="1439"/>
      <c r="V125" s="1434"/>
      <c r="W125" s="1434"/>
      <c r="X125" s="1434"/>
      <c r="Y125" s="1434"/>
      <c r="Z125" s="1434"/>
      <c r="AA125" s="1435"/>
      <c r="AB125" s="838"/>
      <c r="AC125" s="637"/>
    </row>
    <row r="126" spans="1:29" s="627" customFormat="1" ht="19.5" customHeight="1" x14ac:dyDescent="0.25">
      <c r="A126" s="596"/>
      <c r="B126" s="1490" t="str">
        <f>IF(Spells!G43="","",Spells!G43)</f>
        <v/>
      </c>
      <c r="C126" s="711"/>
      <c r="D126" s="711"/>
      <c r="E126" s="711"/>
      <c r="F126" s="711"/>
      <c r="G126" s="711"/>
      <c r="H126" s="1420"/>
      <c r="I126" s="713"/>
      <c r="J126" s="130"/>
      <c r="K126" s="1447" t="str">
        <f>IF(Spells!G156="","",Spells!G156)</f>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s="627" customFormat="1" ht="19.5" hidden="1" customHeight="1" outlineLevel="1" x14ac:dyDescent="0.25">
      <c r="A127" s="596"/>
      <c r="C127" s="838"/>
      <c r="D127" s="130"/>
      <c r="E127" s="130"/>
      <c r="F127" s="130"/>
      <c r="G127" s="130"/>
      <c r="H127" s="130"/>
      <c r="I127" s="130"/>
      <c r="J127" s="130"/>
      <c r="K127" s="1437" t="str">
        <f>IF(Spells!G158="","","["&amp;Spells!G158&amp;"] "&amp;Spells!G159&amp;" ["&amp;Spells!G161&amp;"]")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s="627" customFormat="1" ht="19.5" hidden="1" customHeight="1" outlineLevel="1" x14ac:dyDescent="0.25">
      <c r="A128" s="596"/>
      <c r="B128" s="495" t="s">
        <v>164</v>
      </c>
      <c r="C128" s="457"/>
      <c r="D128" s="495" t="s">
        <v>560</v>
      </c>
      <c r="E128" s="130"/>
      <c r="F128" s="130"/>
      <c r="G128" s="130"/>
      <c r="H128" s="130"/>
      <c r="I128" s="130"/>
      <c r="J128" s="130"/>
      <c r="K128" s="1447" t="str">
        <f>IF(Spells!G160="","",Spells!G160)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s="627" customFormat="1" ht="19.5" hidden="1" customHeight="1" outlineLevel="1" x14ac:dyDescent="0.3">
      <c r="A129" s="596"/>
      <c r="B129" s="770" t="str">
        <f>IF(Spells!G45="","",Spells!G45)</f>
        <v/>
      </c>
      <c r="C129" s="130"/>
      <c r="D129" s="497"/>
      <c r="E129" s="130"/>
      <c r="F129" s="130"/>
      <c r="G129" s="130"/>
      <c r="H129" s="130"/>
      <c r="I129" s="130"/>
      <c r="J129" s="130"/>
      <c r="K129" s="1437" t="str">
        <f>IF(Spells!G162="","","["&amp;Spells!G162&amp;"] "&amp;Spells!G163&amp;" ["&amp;Spells!G165&amp;"]")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s="627" customFormat="1" ht="19.5" hidden="1" customHeight="1" outlineLevel="1" x14ac:dyDescent="0.25">
      <c r="A130" s="596"/>
      <c r="B130" s="676" t="s">
        <v>559</v>
      </c>
      <c r="C130" s="457"/>
      <c r="D130" s="496"/>
      <c r="E130" s="457"/>
      <c r="F130" s="456"/>
      <c r="G130" s="496"/>
      <c r="H130" s="495"/>
      <c r="I130" s="456"/>
      <c r="J130" s="130"/>
      <c r="K130" s="1447" t="str">
        <f>IF(Spells!G164="","",Spells!G164)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s="627" customFormat="1" ht="19.5" hidden="1" customHeight="1" outlineLevel="1" x14ac:dyDescent="0.25">
      <c r="A131" s="596"/>
      <c r="B131" s="1467" t="str">
        <f>IF(Spells!G46="","","["&amp;Spells!G46&amp;"] "&amp;Spells!G47&amp;" ["&amp;Spells!G49&amp;"]")</f>
        <v/>
      </c>
      <c r="C131" s="1468"/>
      <c r="D131" s="1469"/>
      <c r="E131" s="1470"/>
      <c r="F131" s="1470"/>
      <c r="G131" s="1470"/>
      <c r="H131" s="1470"/>
      <c r="I131" s="1471"/>
      <c r="J131" s="130"/>
      <c r="K131" s="1437" t="str">
        <f>IF(Spells!G166="","","["&amp;Spells!G166&amp;"] "&amp;Spells!G167&amp;" ["&amp;Spells!G169&amp;"]")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s="627" customFormat="1" ht="19.5" hidden="1" customHeight="1" outlineLevel="1" x14ac:dyDescent="0.25">
      <c r="A132" s="596"/>
      <c r="B132" s="1472" t="str">
        <f>IF(Spells!G48="","",Spells!G48)</f>
        <v/>
      </c>
      <c r="C132" s="1473"/>
      <c r="D132" s="1474"/>
      <c r="E132" s="1474"/>
      <c r="F132" s="1474"/>
      <c r="G132" s="1474"/>
      <c r="H132" s="1473"/>
      <c r="I132" s="1475"/>
      <c r="J132" s="130"/>
      <c r="K132" s="1447" t="str">
        <f>IF(Spells!G168="","",Spells!G168)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s="627" customFormat="1" ht="19.5" hidden="1" customHeight="1" outlineLevel="1" x14ac:dyDescent="0.25">
      <c r="A133" s="596"/>
      <c r="B133" s="1476" t="str">
        <f>IF(Spells!G50="","","["&amp;Spells!G50&amp;"] "&amp;Spells!G51&amp;" ["&amp;Spells!G53&amp;"]")</f>
        <v/>
      </c>
      <c r="C133" s="1477"/>
      <c r="D133" s="1474"/>
      <c r="E133" s="1474"/>
      <c r="F133" s="1474"/>
      <c r="G133" s="1474"/>
      <c r="H133" s="1474"/>
      <c r="I133" s="1475"/>
      <c r="J133" s="130"/>
      <c r="K133" s="1437" t="str">
        <f>IF(Spells!G170="","","["&amp;Spells!G170&amp;"] "&amp;Spells!G171&amp;" ["&amp;Spells!G173&amp;"]")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s="627" customFormat="1" ht="19.5" hidden="1" customHeight="1" outlineLevel="1" x14ac:dyDescent="0.25">
      <c r="A134" s="596"/>
      <c r="B134" s="1478" t="str">
        <f>IF(Spells!G52="","",Spells!G52)</f>
        <v/>
      </c>
      <c r="C134" s="1479"/>
      <c r="D134" s="1480"/>
      <c r="E134" s="1480"/>
      <c r="F134" s="1480"/>
      <c r="G134" s="1480"/>
      <c r="H134" s="1479"/>
      <c r="I134" s="1481"/>
      <c r="J134" s="130"/>
      <c r="K134" s="1448" t="str">
        <f>IF(Spells!G172="","",Spells!G172)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s="627" customFormat="1" ht="19.5" customHeight="1" collapsed="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customHeight="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IF(Création!G12="","",Création!G12)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Création!G5</f>
        <v>M</v>
      </c>
      <c r="I139" s="1492"/>
      <c r="J139" s="454"/>
      <c r="K139" s="1497" t="str">
        <f>IF(Création!G13="","",Création!G13)</f>
        <v>Elven</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IF(Création!G14="","",Création!G14)</f>
        <v>INT 12 = Draconic</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IF(Création!G15="","",Création!G15)</f>
        <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IF(Création!G16="","",Création!G16)</f>
        <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IF(Création!G17="","",Création!G17)</f>
        <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8.75"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15" x14ac:dyDescent="0.25">
      <c r="A145" s="656"/>
      <c r="B145" s="1547" t="str">
        <f>'Equipment Combat'!G533</f>
        <v xml:space="preserve">  </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Création!G37</f>
        <v>Longue carrière de voyageur, marchand, escroc, pickpocket, corsaire, esclave en fuite, etc</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8.75" hidden="1" outlineLevel="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5" hidden="1" outlineLevel="1" x14ac:dyDescent="0.25">
      <c r="A149" s="656"/>
      <c r="B149" s="1410" t="str">
        <f>IF(Minions!F87="","",Minions!F87)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5" hidden="1" outlineLevel="1" x14ac:dyDescent="0.25">
      <c r="A150" s="656"/>
      <c r="B150" s="1414" t="str">
        <f>IF(Minions!F88="","",Minions!F88)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5" hidden="1" outlineLevel="1" x14ac:dyDescent="0.25">
      <c r="A151" s="656"/>
      <c r="B151" s="1414" t="str">
        <f>IF(Minions!F89="","",Minions!F89)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5" hidden="1" outlineLevel="1" x14ac:dyDescent="0.25">
      <c r="A152" s="656"/>
      <c r="B152" s="1414" t="str">
        <f>IF(Minions!F90="","",Minions!F90)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IF(Minions!F91="","",Minions!F91)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5.75"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O23:P23"/>
    <mergeCell ref="R62:W62"/>
    <mergeCell ref="I7:J7"/>
    <mergeCell ref="K7:L7"/>
    <mergeCell ref="M7:N7"/>
    <mergeCell ref="O17:Q17"/>
    <mergeCell ref="S9:U9"/>
    <mergeCell ref="B147:AB147"/>
    <mergeCell ref="G24:H24"/>
    <mergeCell ref="J9:K9"/>
    <mergeCell ref="E18:F18"/>
    <mergeCell ref="O18:P18"/>
    <mergeCell ref="E19:F19"/>
    <mergeCell ref="O19:P19"/>
    <mergeCell ref="E20:F20"/>
    <mergeCell ref="O20:P20"/>
    <mergeCell ref="E21:F21"/>
    <mergeCell ref="O21:P21"/>
    <mergeCell ref="E22:F22"/>
    <mergeCell ref="X62:AB62"/>
    <mergeCell ref="O22:P22"/>
    <mergeCell ref="E23:F23"/>
    <mergeCell ref="B145:AB145"/>
  </mergeCells>
  <conditionalFormatting sqref="R62:W62">
    <cfRule type="containsText" dxfId="14" priority="3" operator="containsText" text="Cannot">
      <formula>NOT(ISERROR(SEARCH("Cannot",R62)))</formula>
    </cfRule>
    <cfRule type="containsText" dxfId="13" priority="4" operator="containsText" text="Encumbered">
      <formula>NOT(ISERROR(SEARCH("Encumbered",R62)))</formula>
    </cfRule>
    <cfRule type="containsText" dxfId="12" priority="5" operator="containsText" text="Fine">
      <formula>NOT(ISERROR(SEARCH("Fine",R62)))</formula>
    </cfRule>
  </conditionalFormatting>
  <conditionalFormatting sqref="X62">
    <cfRule type="containsText" dxfId="11" priority="1" operator="containsText" text="Overloaded">
      <formula>NOT(ISERROR(SEARCH("Overloaded",X62)))</formula>
    </cfRule>
    <cfRule type="containsText" dxfId="10" priority="2" operator="containsText" text="OK">
      <formula>NOT(ISERROR(SEARCH("OK",X62)))</formula>
    </cfRule>
  </conditionalFormatting>
  <hyperlinks>
    <hyperlink ref="D1" r:id="rId1" location="id=2538135" xr:uid="{D32A2135-3DA5-4A4F-AD1B-193ACFF16055}"/>
  </hyperlinks>
  <pageMargins left="0.25" right="0.25" top="0.75" bottom="0.75" header="0.3" footer="0.3"/>
  <pageSetup paperSize="9" scale="69" orientation="portrait" horizontalDpi="360" verticalDpi="36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F2F3-B3C8-4AF8-B04D-EB3535039A49}">
  <sheetPr>
    <pageSetUpPr fitToPage="1"/>
  </sheetPr>
  <dimension ref="A1:AC160"/>
  <sheetViews>
    <sheetView showGridLines="0" workbookViewId="0">
      <pane ySplit="2" topLeftCell="A139" activePane="bottomLeft" state="frozen"/>
      <selection activeCell="T8" sqref="T8"/>
      <selection pane="bottomLeft" activeCell="B145" sqref="B145:AB145"/>
    </sheetView>
  </sheetViews>
  <sheetFormatPr baseColWidth="10" defaultColWidth="5.7109375" defaultRowHeight="19.5" customHeight="1" outlineLevelRow="1" x14ac:dyDescent="0.25"/>
  <cols>
    <col min="1" max="22" width="5.7109375" style="459"/>
    <col min="23" max="23" width="7.5703125" style="459" bestFit="1" customWidth="1"/>
    <col min="24" max="16384" width="5.7109375" style="459"/>
  </cols>
  <sheetData>
    <row r="1" spans="1:29" ht="19.5" customHeight="1" x14ac:dyDescent="0.25">
      <c r="A1" s="629"/>
      <c r="B1" s="630" t="s">
        <v>487</v>
      </c>
      <c r="C1" s="631"/>
      <c r="D1" s="653" t="s">
        <v>156</v>
      </c>
      <c r="E1" s="631"/>
      <c r="F1" s="631"/>
      <c r="G1" s="630" t="s">
        <v>488</v>
      </c>
      <c r="H1" s="631"/>
      <c r="I1" s="631" t="str">
        <f>Création!H1</f>
        <v>Pierre</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Création!H3</f>
        <v>Fighter</v>
      </c>
      <c r="E2" s="498"/>
      <c r="F2" s="498"/>
      <c r="G2" s="494" t="s">
        <v>26</v>
      </c>
      <c r="H2" s="498"/>
      <c r="I2" s="498" t="str">
        <f>Création!H6</f>
        <v>Versatile Human</v>
      </c>
      <c r="J2" s="498"/>
      <c r="K2" s="498"/>
      <c r="L2" s="498"/>
      <c r="M2" s="490"/>
      <c r="N2" s="498"/>
      <c r="O2" s="498"/>
      <c r="P2" s="494" t="s">
        <v>42</v>
      </c>
      <c r="Q2" s="498"/>
      <c r="R2" s="498" t="str">
        <f>Création!H7</f>
        <v>Warrior</v>
      </c>
      <c r="S2" s="498"/>
      <c r="T2" s="498"/>
      <c r="U2" s="498"/>
      <c r="V2" s="498"/>
      <c r="W2" s="498"/>
      <c r="X2" s="498"/>
      <c r="Y2" s="498"/>
      <c r="Z2" s="498"/>
      <c r="AA2" s="498"/>
      <c r="AB2" s="437"/>
      <c r="AC2" s="637"/>
    </row>
    <row r="3" spans="1:29" ht="19.5" customHeight="1" x14ac:dyDescent="0.3">
      <c r="A3" s="638"/>
      <c r="B3" s="438" t="s">
        <v>490</v>
      </c>
      <c r="C3" s="439"/>
      <c r="D3" s="440">
        <f>'Dés de vie'!H13</f>
        <v>5</v>
      </c>
      <c r="E3" s="439"/>
      <c r="F3" s="439"/>
      <c r="G3" s="438" t="s">
        <v>205</v>
      </c>
      <c r="H3" s="439"/>
      <c r="I3" s="439" t="str">
        <f>Création!H28</f>
        <v>Medium</v>
      </c>
      <c r="J3" s="439"/>
      <c r="K3" s="438" t="s">
        <v>491</v>
      </c>
      <c r="L3" s="439"/>
      <c r="M3" s="439" t="str">
        <f>Création!H9</f>
        <v>Iomedae</v>
      </c>
      <c r="N3" s="439"/>
      <c r="O3" s="439"/>
      <c r="P3" s="438" t="s">
        <v>159</v>
      </c>
      <c r="Q3" s="439"/>
      <c r="R3" s="439" t="str">
        <f>Création!H8</f>
        <v>LG</v>
      </c>
      <c r="S3" s="439"/>
      <c r="T3" s="439"/>
      <c r="U3" s="439"/>
      <c r="V3" s="441"/>
      <c r="W3" s="441"/>
      <c r="X3" s="441"/>
      <c r="Y3" s="439"/>
      <c r="Z3" s="439"/>
      <c r="AA3" s="439"/>
      <c r="AB3" s="442"/>
      <c r="AC3" s="637"/>
    </row>
    <row r="4" spans="1:29" s="450" customFormat="1" ht="19.5" customHeight="1" x14ac:dyDescent="0.3">
      <c r="A4" s="639"/>
      <c r="B4" s="640" t="s">
        <v>492</v>
      </c>
      <c r="C4" s="640"/>
      <c r="D4" s="640"/>
      <c r="E4" s="640"/>
      <c r="F4" s="640"/>
      <c r="G4" s="640"/>
      <c r="H4" s="640"/>
      <c r="I4" s="1317" t="s">
        <v>493</v>
      </c>
      <c r="J4" s="1317"/>
      <c r="K4" s="640"/>
      <c r="L4" s="640"/>
      <c r="M4" s="641"/>
      <c r="N4" s="641"/>
      <c r="O4" s="641"/>
      <c r="P4" s="640"/>
      <c r="Q4" s="640"/>
      <c r="R4" s="640"/>
      <c r="S4" s="640"/>
      <c r="T4" s="640"/>
      <c r="U4" s="640"/>
      <c r="V4" s="641"/>
      <c r="W4" s="640" t="s">
        <v>494</v>
      </c>
      <c r="X4" s="640"/>
      <c r="Y4" s="640"/>
      <c r="Z4" s="640"/>
      <c r="AA4" s="640"/>
      <c r="AB4" s="640"/>
      <c r="AC4" s="642"/>
    </row>
    <row r="5" spans="1:29" ht="19.5" customHeight="1" x14ac:dyDescent="0.25">
      <c r="A5" s="636"/>
      <c r="B5" s="489" t="s">
        <v>79</v>
      </c>
      <c r="C5" s="489" t="s">
        <v>495</v>
      </c>
      <c r="D5" s="489" t="s">
        <v>496</v>
      </c>
      <c r="E5" s="489" t="s">
        <v>79</v>
      </c>
      <c r="F5" s="489" t="s">
        <v>495</v>
      </c>
      <c r="G5" s="489" t="s">
        <v>496</v>
      </c>
      <c r="H5" s="490"/>
      <c r="I5" s="782">
        <f>'Dés de vie'!H16</f>
        <v>78</v>
      </c>
      <c r="J5" s="1401"/>
      <c r="K5" s="498"/>
      <c r="L5" s="498"/>
      <c r="M5" s="494"/>
      <c r="N5" s="490"/>
      <c r="O5" s="490"/>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Stats!H2</f>
        <v>19</v>
      </c>
      <c r="D6" s="1385">
        <f>Stats!H11</f>
        <v>4</v>
      </c>
      <c r="E6" s="1386" t="s">
        <v>11</v>
      </c>
      <c r="F6" s="1385">
        <f>Stats!H3</f>
        <v>14</v>
      </c>
      <c r="G6" s="1387">
        <f>Stats!H12</f>
        <v>2</v>
      </c>
      <c r="H6" s="490"/>
      <c r="I6" s="640" t="s">
        <v>497</v>
      </c>
      <c r="J6" s="490"/>
      <c r="K6" s="490"/>
      <c r="L6" s="489"/>
      <c r="M6" s="490" t="s">
        <v>644</v>
      </c>
      <c r="N6" s="489"/>
      <c r="O6" s="490"/>
      <c r="P6" s="490"/>
      <c r="Q6" s="489" t="s">
        <v>324</v>
      </c>
      <c r="R6" s="490"/>
      <c r="S6" s="490"/>
      <c r="T6" s="489" t="s">
        <v>342</v>
      </c>
      <c r="U6" s="490"/>
      <c r="V6" s="489" t="s">
        <v>297</v>
      </c>
      <c r="W6" s="1395" t="str">
        <f>Skills!A137</f>
        <v>Simple weapons</v>
      </c>
      <c r="X6" s="1396"/>
      <c r="Y6" s="1396"/>
      <c r="Z6" s="1396"/>
      <c r="AA6" s="731" t="str">
        <f>Skills!H137</f>
        <v>Expert</v>
      </c>
      <c r="AB6" s="1397"/>
      <c r="AC6" s="637"/>
    </row>
    <row r="7" spans="1:29" ht="19.5" customHeight="1" x14ac:dyDescent="0.25">
      <c r="A7" s="643"/>
      <c r="B7" s="1388" t="s">
        <v>8</v>
      </c>
      <c r="C7" s="1389">
        <f>Stats!H4</f>
        <v>18</v>
      </c>
      <c r="D7" s="1389">
        <f>Stats!H13</f>
        <v>4</v>
      </c>
      <c r="E7" s="1368" t="s">
        <v>12</v>
      </c>
      <c r="F7" s="1389">
        <f>Stats!H5</f>
        <v>10</v>
      </c>
      <c r="G7" s="1390">
        <f>Stats!H14</f>
        <v>0</v>
      </c>
      <c r="H7" s="490"/>
      <c r="I7" s="1552" t="str">
        <f>'Equipment Combat'!H343</f>
        <v>23/+2</v>
      </c>
      <c r="J7" s="1553"/>
      <c r="K7" s="1550" t="s">
        <v>498</v>
      </c>
      <c r="L7" s="1550"/>
      <c r="M7" s="1554" t="str">
        <f>IF('Equipment Combat'!H342="",'Equipment Combat'!H341,CONCATENATE("MIN(",'Equipment Combat'!H341,"/",'Equipment Combat'!H342,")"))</f>
        <v>MIN(2/2)</v>
      </c>
      <c r="N7" s="1554"/>
      <c r="O7" s="1320" t="s">
        <v>499</v>
      </c>
      <c r="P7" s="1320">
        <f>'Equipment Combat'!H340</f>
        <v>7</v>
      </c>
      <c r="Q7" s="774" t="str">
        <f>'Equipment Combat'!H338</f>
        <v>Trained</v>
      </c>
      <c r="R7" s="1320"/>
      <c r="S7" s="1320" t="s">
        <v>499</v>
      </c>
      <c r="T7" s="1320">
        <f>'Equipment Combat'!H335+'Equipment Combat'!H336</f>
        <v>4</v>
      </c>
      <c r="U7" s="775" t="s">
        <v>499</v>
      </c>
      <c r="V7" s="776">
        <f>'Equipment Combat'!H339</f>
        <v>2</v>
      </c>
      <c r="W7" s="1398" t="str">
        <f>Skills!A139</f>
        <v>Martial weapons</v>
      </c>
      <c r="X7" s="737"/>
      <c r="Y7" s="1399"/>
      <c r="Z7" s="1399"/>
      <c r="AA7" s="737" t="str">
        <f>Skills!H139</f>
        <v>Expert</v>
      </c>
      <c r="AB7" s="1343"/>
      <c r="AC7" s="637"/>
    </row>
    <row r="8" spans="1:29" ht="19.5" customHeight="1" x14ac:dyDescent="0.3">
      <c r="A8" s="643"/>
      <c r="B8" s="1391" t="s">
        <v>13</v>
      </c>
      <c r="C8" s="1392">
        <f>Stats!H6</f>
        <v>14</v>
      </c>
      <c r="D8" s="1392">
        <f>Stats!H15</f>
        <v>2</v>
      </c>
      <c r="E8" s="1393" t="s">
        <v>14</v>
      </c>
      <c r="F8" s="1392">
        <f>Stats!H7</f>
        <v>10</v>
      </c>
      <c r="G8" s="1394">
        <f>Stats!H16</f>
        <v>0</v>
      </c>
      <c r="H8" s="490"/>
      <c r="I8" s="640" t="s">
        <v>84</v>
      </c>
      <c r="J8" s="490"/>
      <c r="K8" s="490"/>
      <c r="L8" s="490"/>
      <c r="M8" s="489" t="s">
        <v>324</v>
      </c>
      <c r="N8" s="490"/>
      <c r="O8" s="490"/>
      <c r="P8" s="490"/>
      <c r="Q8" s="489" t="s">
        <v>79</v>
      </c>
      <c r="R8" s="490"/>
      <c r="S8" s="1207" t="s">
        <v>979</v>
      </c>
      <c r="T8" s="1189"/>
      <c r="U8" s="490"/>
      <c r="V8" s="490"/>
      <c r="W8" s="1398" t="str">
        <f>Skills!A141</f>
        <v>Advanced weapons</v>
      </c>
      <c r="X8" s="737"/>
      <c r="Y8" s="1399"/>
      <c r="Z8" s="1399"/>
      <c r="AA8" s="737" t="str">
        <f>Skills!H141</f>
        <v>Trained</v>
      </c>
      <c r="AB8" s="1343"/>
      <c r="AC8" s="637"/>
    </row>
    <row r="9" spans="1:29" ht="19.5" customHeight="1" x14ac:dyDescent="0.25">
      <c r="A9" s="643"/>
      <c r="B9" s="490"/>
      <c r="C9" s="490"/>
      <c r="D9" s="490"/>
      <c r="E9" s="490"/>
      <c r="F9" s="490"/>
      <c r="G9" s="490"/>
      <c r="H9" s="490"/>
      <c r="I9" s="781">
        <f>Skills!H37</f>
        <v>21</v>
      </c>
      <c r="J9" s="1551" t="s">
        <v>498</v>
      </c>
      <c r="K9" s="1551"/>
      <c r="L9" s="777">
        <f>Skills!H206</f>
        <v>7</v>
      </c>
      <c r="M9" s="778" t="str">
        <f>Skills!H163</f>
        <v>Trained</v>
      </c>
      <c r="N9" s="779"/>
      <c r="O9" s="777" t="s">
        <v>499</v>
      </c>
      <c r="P9" s="777">
        <f>Skills!H70</f>
        <v>4</v>
      </c>
      <c r="Q9" s="780" t="str">
        <f>Skills!H71</f>
        <v>STR</v>
      </c>
      <c r="R9" s="490"/>
      <c r="S9" s="1562">
        <f>'Status courant'!H6</f>
        <v>1</v>
      </c>
      <c r="T9" s="1563"/>
      <c r="U9" s="1564"/>
      <c r="V9" s="490"/>
      <c r="W9" s="1398" t="str">
        <f>Skills!A143</f>
        <v>Alchemical bombs</v>
      </c>
      <c r="X9" s="737"/>
      <c r="Y9" s="1399"/>
      <c r="Z9" s="1399"/>
      <c r="AA9" s="737" t="str">
        <f>Skills!H143</f>
        <v>Untrained</v>
      </c>
      <c r="AB9" s="1343"/>
      <c r="AC9" s="637"/>
    </row>
    <row r="10" spans="1:29" ht="19.5" customHeight="1" x14ac:dyDescent="0.3">
      <c r="A10" s="643"/>
      <c r="B10" s="640" t="s">
        <v>500</v>
      </c>
      <c r="C10" s="640"/>
      <c r="D10" s="490"/>
      <c r="E10" s="490"/>
      <c r="F10" s="490"/>
      <c r="G10" s="490"/>
      <c r="H10" s="490"/>
      <c r="I10" s="490"/>
      <c r="J10" s="490"/>
      <c r="K10" s="489"/>
      <c r="L10" s="490"/>
      <c r="M10" s="490"/>
      <c r="N10" s="490"/>
      <c r="O10" s="490"/>
      <c r="P10" s="490"/>
      <c r="Q10" s="490"/>
      <c r="R10" s="490"/>
      <c r="S10" s="490"/>
      <c r="T10" s="490"/>
      <c r="U10" s="490"/>
      <c r="V10" s="490"/>
      <c r="W10" s="1398" t="str">
        <f>Skills!A145</f>
        <v>Unarmed attacks</v>
      </c>
      <c r="X10" s="737"/>
      <c r="Y10" s="1399"/>
      <c r="Z10" s="1399"/>
      <c r="AA10" s="737" t="str">
        <f>Skills!H145</f>
        <v>Expert</v>
      </c>
      <c r="AB10" s="1343"/>
      <c r="AC10" s="637"/>
    </row>
    <row r="11" spans="1:29" ht="19.5" customHeight="1" x14ac:dyDescent="0.25">
      <c r="A11" s="643"/>
      <c r="B11" s="490"/>
      <c r="C11" s="489" t="s">
        <v>7</v>
      </c>
      <c r="D11" s="489"/>
      <c r="E11" s="489" t="s">
        <v>79</v>
      </c>
      <c r="F11" s="489"/>
      <c r="G11" s="489"/>
      <c r="H11" s="489" t="s">
        <v>324</v>
      </c>
      <c r="I11" s="489"/>
      <c r="J11" s="489"/>
      <c r="K11" s="489" t="s">
        <v>342</v>
      </c>
      <c r="L11" s="490"/>
      <c r="M11" s="490"/>
      <c r="N11" s="490"/>
      <c r="O11" s="490"/>
      <c r="P11" s="490"/>
      <c r="Q11" s="498" t="s">
        <v>648</v>
      </c>
      <c r="R11" s="490"/>
      <c r="S11" s="490"/>
      <c r="T11" s="490"/>
      <c r="U11" s="490"/>
      <c r="V11" s="490"/>
      <c r="W11" s="1398" t="str">
        <f>IF(Skills!H$148="",Skills!A$147,Skills!H$148)</f>
        <v>Simple/Martial swords</v>
      </c>
      <c r="X11" s="737"/>
      <c r="Y11" s="1399"/>
      <c r="Z11" s="1399"/>
      <c r="AA11" s="737" t="str">
        <f>Skills!H147</f>
        <v>Master</v>
      </c>
      <c r="AB11" s="1343"/>
      <c r="AC11" s="637"/>
    </row>
    <row r="12" spans="1:29" ht="19.5" customHeight="1" x14ac:dyDescent="0.3">
      <c r="A12" s="643"/>
      <c r="B12" s="1368" t="s">
        <v>501</v>
      </c>
      <c r="C12" s="1369">
        <f>Skills!H4</f>
        <v>13</v>
      </c>
      <c r="D12" s="1370" t="s">
        <v>502</v>
      </c>
      <c r="E12" s="1371">
        <f>Skills!H45</f>
        <v>4</v>
      </c>
      <c r="F12" s="1370" t="s">
        <v>499</v>
      </c>
      <c r="G12" s="1371">
        <f>Skills!H172</f>
        <v>9</v>
      </c>
      <c r="H12" s="1372" t="str">
        <f>Skills!H78</f>
        <v>Expert</v>
      </c>
      <c r="I12" s="1372"/>
      <c r="J12" s="1370" t="s">
        <v>499</v>
      </c>
      <c r="K12" s="1373"/>
      <c r="L12" s="490"/>
      <c r="M12" s="640" t="s">
        <v>206</v>
      </c>
      <c r="N12" s="490"/>
      <c r="O12" s="490"/>
      <c r="P12" s="490"/>
      <c r="Q12" s="1384" t="s">
        <v>504</v>
      </c>
      <c r="R12" s="1402"/>
      <c r="S12" s="1407">
        <f>C15</f>
        <v>11</v>
      </c>
      <c r="T12" s="490"/>
      <c r="U12" s="490"/>
      <c r="V12" s="490"/>
      <c r="W12" s="1398" t="str">
        <f>IF(Skills!H$150="","",Skills!H$151)</f>
        <v>Advanced swords</v>
      </c>
      <c r="X12" s="737"/>
      <c r="Y12" s="1399"/>
      <c r="Z12" s="1399"/>
      <c r="AA12" s="737" t="str">
        <f>IF(Skills!H$150="","",Skills!H$150)</f>
        <v>Expert</v>
      </c>
      <c r="AB12" s="1343"/>
      <c r="AC12" s="637"/>
    </row>
    <row r="13" spans="1:29" ht="19.5" customHeight="1" x14ac:dyDescent="0.25">
      <c r="A13" s="643"/>
      <c r="B13" s="1368" t="s">
        <v>528</v>
      </c>
      <c r="C13" s="1374">
        <f>Skills!H5</f>
        <v>11</v>
      </c>
      <c r="D13" s="1375" t="s">
        <v>502</v>
      </c>
      <c r="E13" s="1376">
        <f>Skills!H46</f>
        <v>2</v>
      </c>
      <c r="F13" s="1375" t="s">
        <v>499</v>
      </c>
      <c r="G13" s="1376">
        <f>Skills!H173</f>
        <v>9</v>
      </c>
      <c r="H13" s="1377" t="str">
        <f>Skills!H80</f>
        <v>Expert</v>
      </c>
      <c r="I13" s="1377"/>
      <c r="J13" s="1375" t="s">
        <v>499</v>
      </c>
      <c r="K13" s="1378"/>
      <c r="L13" s="490"/>
      <c r="M13" s="721" t="str">
        <f>Skills!H309&amp;"'"</f>
        <v>25'</v>
      </c>
      <c r="N13" s="490"/>
      <c r="O13" s="490"/>
      <c r="P13" s="490"/>
      <c r="Q13" s="1403" t="s">
        <v>23</v>
      </c>
      <c r="R13" s="1404"/>
      <c r="S13" s="1408">
        <f>R29</f>
        <v>9</v>
      </c>
      <c r="T13" s="490"/>
      <c r="U13" s="490"/>
      <c r="V13" s="490"/>
      <c r="W13" s="1398" t="str">
        <f>Skills!A154</f>
        <v>Light armor</v>
      </c>
      <c r="X13" s="737"/>
      <c r="Y13" s="1399"/>
      <c r="Z13" s="1399"/>
      <c r="AA13" s="737" t="str">
        <f>Skills!H154</f>
        <v>Trained</v>
      </c>
      <c r="AB13" s="1343"/>
      <c r="AC13" s="637"/>
    </row>
    <row r="14" spans="1:29" ht="19.5" customHeight="1" x14ac:dyDescent="0.3">
      <c r="A14" s="643"/>
      <c r="B14" s="1368" t="s">
        <v>503</v>
      </c>
      <c r="C14" s="1374">
        <f>Skills!H6</f>
        <v>11</v>
      </c>
      <c r="D14" s="1375" t="s">
        <v>502</v>
      </c>
      <c r="E14" s="1376">
        <f>Skills!H47</f>
        <v>2</v>
      </c>
      <c r="F14" s="1375" t="s">
        <v>499</v>
      </c>
      <c r="G14" s="1376">
        <f>Skills!H174</f>
        <v>9</v>
      </c>
      <c r="H14" s="1377" t="str">
        <f>Skills!H82</f>
        <v>Expert</v>
      </c>
      <c r="I14" s="1377"/>
      <c r="J14" s="1375" t="s">
        <v>499</v>
      </c>
      <c r="K14" s="1378"/>
      <c r="L14" s="490"/>
      <c r="M14" s="490"/>
      <c r="N14" s="644"/>
      <c r="O14" s="644"/>
      <c r="P14" s="490"/>
      <c r="Q14" s="1403" t="s">
        <v>54</v>
      </c>
      <c r="R14" s="1404"/>
      <c r="S14" s="1408">
        <f>D30</f>
        <v>0</v>
      </c>
      <c r="T14" s="490"/>
      <c r="U14" s="454"/>
      <c r="V14" s="454"/>
      <c r="W14" s="1398" t="str">
        <f>Skills!A156</f>
        <v>Medium armor</v>
      </c>
      <c r="X14" s="737"/>
      <c r="Y14" s="737"/>
      <c r="Z14" s="737"/>
      <c r="AA14" s="737" t="str">
        <f>Skills!H156</f>
        <v>Trained</v>
      </c>
      <c r="AB14" s="1343"/>
      <c r="AC14" s="637"/>
    </row>
    <row r="15" spans="1:29" ht="19.5" customHeight="1" x14ac:dyDescent="0.3">
      <c r="A15" s="643"/>
      <c r="B15" s="1368" t="s">
        <v>504</v>
      </c>
      <c r="C15" s="1379">
        <f>Skills!H2</f>
        <v>11</v>
      </c>
      <c r="D15" s="1380" t="s">
        <v>502</v>
      </c>
      <c r="E15" s="1381">
        <f>Skills!H42</f>
        <v>2</v>
      </c>
      <c r="F15" s="1380" t="s">
        <v>499</v>
      </c>
      <c r="G15" s="1381">
        <f>Skills!H171</f>
        <v>9</v>
      </c>
      <c r="H15" s="1382" t="str">
        <f>Skills!H75</f>
        <v>Expert</v>
      </c>
      <c r="I15" s="1382"/>
      <c r="J15" s="1380" t="s">
        <v>499</v>
      </c>
      <c r="K15" s="1383"/>
      <c r="L15" s="498" t="str">
        <f>CONCATENATE(" &lt;&lt; ",Feats!H6)</f>
        <v xml:space="preserve"> &lt;&lt; Normal Vision</v>
      </c>
      <c r="M15" s="644"/>
      <c r="N15" s="644"/>
      <c r="O15" s="644"/>
      <c r="P15" s="490"/>
      <c r="Q15" s="1405" t="s">
        <v>21</v>
      </c>
      <c r="R15" s="1406"/>
      <c r="S15" s="1409">
        <f>D31</f>
        <v>0</v>
      </c>
      <c r="T15" s="454"/>
      <c r="U15" s="454"/>
      <c r="V15" s="454"/>
      <c r="W15" s="1398" t="str">
        <f>Skills!A158</f>
        <v>Heavy armor</v>
      </c>
      <c r="X15" s="737"/>
      <c r="Y15" s="737"/>
      <c r="Z15" s="737"/>
      <c r="AA15" s="737" t="str">
        <f>Skills!H158</f>
        <v>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Skills!H163</f>
        <v>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s="627" customFormat="1" ht="19.5" customHeight="1" x14ac:dyDescent="0.25">
      <c r="A18" s="643"/>
      <c r="B18" s="764" t="str">
        <f>'Equipment Combat'!H349</f>
        <v>Silver Longsword</v>
      </c>
      <c r="C18" s="765"/>
      <c r="D18" s="765"/>
      <c r="E18" s="1559" t="str">
        <f>'Equipment Combat'!H364</f>
        <v>15/10/5</v>
      </c>
      <c r="F18" s="1559"/>
      <c r="G18" s="748" t="str">
        <f>"= "&amp;'Equipment Combat'!H367</f>
        <v>= 4</v>
      </c>
      <c r="H18" s="747" t="str">
        <f>'Equipment Combat'!H365</f>
        <v>STR</v>
      </c>
      <c r="I18" s="747"/>
      <c r="J18" s="748" t="str">
        <f>"+ "&amp;'Equipment Combat'!H368</f>
        <v>+ 11</v>
      </c>
      <c r="K18" s="747" t="str">
        <f>'Equipment Combat'!H366</f>
        <v>Master</v>
      </c>
      <c r="L18" s="747"/>
      <c r="M18" s="1350">
        <f>'Equipment Combat'!H369</f>
        <v>0</v>
      </c>
      <c r="N18" s="457" t="s">
        <v>505</v>
      </c>
      <c r="O18" s="1560" t="str">
        <f>CONCATENATE('Equipment Combat'!H375,'Equipment Combat'!H357)</f>
        <v>1d8</v>
      </c>
      <c r="P18" s="1561"/>
      <c r="Q18" s="1321" t="str">
        <f>"+"&amp;'Equipment Combat'!H374</f>
        <v>+4</v>
      </c>
      <c r="R18" s="752" t="str">
        <f>'Equipment Combat'!H373</f>
        <v>STR</v>
      </c>
      <c r="S18" s="1351" t="str">
        <f>'Equipment Combat'!H358</f>
        <v>Slashing</v>
      </c>
      <c r="T18" s="1352" t="str">
        <f>'Equipment Combat'!H363</f>
        <v>Sword</v>
      </c>
      <c r="U18" s="1353"/>
      <c r="V18" s="1352" t="str">
        <f>'Equipment Combat'!H351&amp;IF('Equipment Combat'!H352="-","",", "&amp;'Equipment Combat'!H352)&amp;IF('Equipment Combat'!H353="-","",", "&amp;'Equipment Combat'!H353)&amp;IF('Equipment Combat'!H354="-","",", "&amp;'Equipment Combat'!H354)&amp;IF('Equipment Combat'!H355="-","",", "&amp;'Equipment Combat'!H355)&amp;IF('Equipment Combat'!H360="-","",", "&amp;'Equipment Combat'!H360)&amp;IF('Equipment Combat'!H361="-","",", "&amp;'Equipment Combat'!H361)</f>
        <v>Specific 1, Versatile P</v>
      </c>
      <c r="W18" s="1354"/>
      <c r="X18" s="1354"/>
      <c r="Y18" s="1354"/>
      <c r="Z18" s="1354"/>
      <c r="AA18" s="1354"/>
      <c r="AB18" s="1353"/>
      <c r="AC18" s="637"/>
    </row>
    <row r="19" spans="1:29" s="627" customFormat="1" ht="19.5" customHeight="1" x14ac:dyDescent="0.25">
      <c r="A19" s="643"/>
      <c r="B19" s="766" t="str">
        <f>'Equipment Combat'!H376</f>
        <v>+1 Sickle</v>
      </c>
      <c r="C19" s="767"/>
      <c r="D19" s="767"/>
      <c r="E19" s="1534" t="str">
        <f>'Equipment Combat'!H391</f>
        <v>14/10/6</v>
      </c>
      <c r="F19" s="1534"/>
      <c r="G19" s="750" t="str">
        <f>"= "&amp;'Equipment Combat'!H394</f>
        <v>= 4</v>
      </c>
      <c r="H19" s="749" t="str">
        <f>'Equipment Combat'!H392</f>
        <v>STR/DEX</v>
      </c>
      <c r="I19" s="749"/>
      <c r="J19" s="750" t="str">
        <f>"+ "&amp;'Equipment Combat'!H395</f>
        <v>+ 9</v>
      </c>
      <c r="K19" s="749" t="str">
        <f>'Equipment Combat'!H393</f>
        <v>Expert</v>
      </c>
      <c r="L19" s="749"/>
      <c r="M19" s="1355">
        <f>'Equipment Combat'!H396</f>
        <v>1</v>
      </c>
      <c r="N19" s="457" t="s">
        <v>505</v>
      </c>
      <c r="O19" s="1540" t="str">
        <f>CONCATENATE('Equipment Combat'!H402,'Equipment Combat'!H384)</f>
        <v>1d4</v>
      </c>
      <c r="P19" s="1541"/>
      <c r="Q19" s="1318" t="str">
        <f>"+"&amp;'Equipment Combat'!H401</f>
        <v>+4</v>
      </c>
      <c r="R19" s="753" t="str">
        <f>'Equipment Combat'!H400</f>
        <v>STR</v>
      </c>
      <c r="S19" s="1356" t="str">
        <f>'Equipment Combat'!H385</f>
        <v>Slashing</v>
      </c>
      <c r="T19" s="1357" t="str">
        <f>'Equipment Combat'!H390</f>
        <v>Knife</v>
      </c>
      <c r="U19" s="1358"/>
      <c r="V19" s="1357" t="str">
        <f>'Equipment Combat'!H378&amp;IF('Equipment Combat'!H379="-","",", "&amp;'Equipment Combat'!H379)&amp;IF('Equipment Combat'!H380="-","",", "&amp;'Equipment Combat'!H380)&amp;IF('Equipment Combat'!H381="-","",", "&amp;'Equipment Combat'!H381)&amp;IF('Equipment Combat'!H382="-","",", "&amp;'Equipment Combat'!H382)&amp;IF('Equipment Combat'!H387="-","",", "&amp;'Equipment Combat'!H387)&amp;IF('Equipment Combat'!H388="-","",", "&amp;'Equipment Combat'!H388)</f>
        <v>Simple, Agile, Finesse, Trip</v>
      </c>
      <c r="W19" s="1359"/>
      <c r="X19" s="1359"/>
      <c r="Y19" s="1359"/>
      <c r="Z19" s="1359"/>
      <c r="AA19" s="1359"/>
      <c r="AB19" s="1358"/>
      <c r="AC19" s="637"/>
    </row>
    <row r="20" spans="1:29" s="627" customFormat="1" ht="19.5" customHeight="1" x14ac:dyDescent="0.25">
      <c r="A20" s="643"/>
      <c r="B20" s="766" t="str">
        <f>'Equipment Combat'!H403</f>
        <v>Longbow</v>
      </c>
      <c r="C20" s="767"/>
      <c r="D20" s="767"/>
      <c r="E20" s="1534" t="str">
        <f>'Equipment Combat'!H418</f>
        <v>11/6/1</v>
      </c>
      <c r="F20" s="1534"/>
      <c r="G20" s="750" t="str">
        <f>"= "&amp;'Equipment Combat'!H421</f>
        <v>= 2</v>
      </c>
      <c r="H20" s="749" t="str">
        <f>'Equipment Combat'!H419</f>
        <v>DEX</v>
      </c>
      <c r="I20" s="749"/>
      <c r="J20" s="750" t="str">
        <f>"+ "&amp;'Equipment Combat'!H422</f>
        <v>+ 9</v>
      </c>
      <c r="K20" s="749" t="str">
        <f>'Equipment Combat'!H420</f>
        <v>Expert</v>
      </c>
      <c r="L20" s="749"/>
      <c r="M20" s="1355">
        <f>'Equipment Combat'!H423</f>
        <v>0</v>
      </c>
      <c r="N20" s="457" t="s">
        <v>505</v>
      </c>
      <c r="O20" s="1540" t="str">
        <f>CONCATENATE('Equipment Combat'!H429,'Equipment Combat'!H411)</f>
        <v>1d8</v>
      </c>
      <c r="P20" s="1541"/>
      <c r="Q20" s="1318" t="str">
        <f>"+"&amp;'Equipment Combat'!H428</f>
        <v>+0</v>
      </c>
      <c r="R20" s="753" t="str">
        <f>'Equipment Combat'!H427</f>
        <v>-</v>
      </c>
      <c r="S20" s="1356" t="str">
        <f>'Equipment Combat'!H412</f>
        <v>Piercing</v>
      </c>
      <c r="T20" s="1357" t="str">
        <f>'Equipment Combat'!H417</f>
        <v>Bow</v>
      </c>
      <c r="U20" s="1358"/>
      <c r="V20" s="1357" t="str">
        <f>'Equipment Combat'!H405&amp;IF('Equipment Combat'!H406="-","",", "&amp;'Equipment Combat'!H406)&amp;IF('Equipment Combat'!H407="-","",", "&amp;'Equipment Combat'!H407)&amp;IF('Equipment Combat'!H408="-","",", "&amp;'Equipment Combat'!H408)&amp;IF('Equipment Combat'!H409="-","",", "&amp;'Equipment Combat'!H409)&amp;IF('Equipment Combat'!H414="-","",", "&amp;'Equipment Combat'!H414)&amp;IF('Equipment Combat'!H415="-","",", "&amp;'Equipment Combat'!H415)</f>
        <v>Martial, Deadly d10, Volley 30', 100'</v>
      </c>
      <c r="W20" s="1359"/>
      <c r="X20" s="1359"/>
      <c r="Y20" s="1359"/>
      <c r="Z20" s="1359"/>
      <c r="AA20" s="1359"/>
      <c r="AB20" s="1358"/>
      <c r="AC20" s="637"/>
    </row>
    <row r="21" spans="1:29" s="627" customFormat="1" ht="19.5" customHeight="1" x14ac:dyDescent="0.25">
      <c r="A21" s="643"/>
      <c r="B21" s="766" t="str">
        <f>'Equipment Combat'!H430</f>
        <v>Fist</v>
      </c>
      <c r="C21" s="767"/>
      <c r="D21" s="767"/>
      <c r="E21" s="1534" t="str">
        <f>'Equipment Combat'!H445</f>
        <v>13/9/5</v>
      </c>
      <c r="F21" s="1534"/>
      <c r="G21" s="750" t="str">
        <f>"= "&amp;'Equipment Combat'!H448</f>
        <v>= 4</v>
      </c>
      <c r="H21" s="749" t="str">
        <f>'Equipment Combat'!H446</f>
        <v>STR/DEX</v>
      </c>
      <c r="I21" s="749"/>
      <c r="J21" s="750" t="str">
        <f>"+ "&amp;'Equipment Combat'!H449</f>
        <v>+ 9</v>
      </c>
      <c r="K21" s="749" t="str">
        <f>'Equipment Combat'!H447</f>
        <v>Expert</v>
      </c>
      <c r="L21" s="749"/>
      <c r="M21" s="1355">
        <f>'Equipment Combat'!H450</f>
        <v>0</v>
      </c>
      <c r="N21" s="457" t="s">
        <v>505</v>
      </c>
      <c r="O21" s="1540" t="str">
        <f>CONCATENATE('Equipment Combat'!H456,'Equipment Combat'!H438)</f>
        <v>1d4</v>
      </c>
      <c r="P21" s="1541"/>
      <c r="Q21" s="1318" t="str">
        <f>"+"&amp;'Equipment Combat'!H455</f>
        <v>+4</v>
      </c>
      <c r="R21" s="753" t="str">
        <f>'Equipment Combat'!H454</f>
        <v>STR</v>
      </c>
      <c r="S21" s="1356" t="str">
        <f>'Equipment Combat'!H439</f>
        <v>Bludgeoning</v>
      </c>
      <c r="T21" s="1357" t="str">
        <f>'Equipment Combat'!H444</f>
        <v>Brawling</v>
      </c>
      <c r="U21" s="1358"/>
      <c r="V21" s="1357" t="str">
        <f>'Equipment Combat'!H432&amp;IF('Equipment Combat'!H433="-","",", "&amp;'Equipment Combat'!H433)&amp;IF('Equipment Combat'!H434="-","",", "&amp;'Equipment Combat'!H434)&amp;IF('Equipment Combat'!H435="-","",", "&amp;'Equipment Combat'!H435)&amp;IF('Equipment Combat'!H436="-","",", "&amp;'Equipment Combat'!H436)&amp;IF('Equipment Combat'!H441="-","",", "&amp;'Equipment Combat'!H441)&amp;IF('Equipment Combat'!H442="-","",", "&amp;'Equipment Combat'!H442)</f>
        <v>Unarmed, Agile, Finesse, Nonlethal</v>
      </c>
      <c r="W21" s="1359"/>
      <c r="X21" s="1359"/>
      <c r="Y21" s="1359"/>
      <c r="Z21" s="1359"/>
      <c r="AA21" s="1359"/>
      <c r="AB21" s="1358"/>
      <c r="AC21" s="637"/>
    </row>
    <row r="22" spans="1:29" s="627" customFormat="1" ht="19.5" customHeight="1" x14ac:dyDescent="0.25">
      <c r="A22" s="643"/>
      <c r="B22" s="766" t="str">
        <f>'Equipment Combat'!H457</f>
        <v>Whip</v>
      </c>
      <c r="C22" s="767"/>
      <c r="D22" s="767"/>
      <c r="E22" s="1534" t="str">
        <f>'Equipment Combat'!H472</f>
        <v>13/8/3</v>
      </c>
      <c r="F22" s="1534"/>
      <c r="G22" s="750" t="str">
        <f>"= "&amp;'Equipment Combat'!H475</f>
        <v>= 4</v>
      </c>
      <c r="H22" s="749" t="str">
        <f>'Equipment Combat'!H473</f>
        <v>STR</v>
      </c>
      <c r="I22" s="749"/>
      <c r="J22" s="750" t="str">
        <f>"+ "&amp;'Equipment Combat'!H476</f>
        <v>+ 9</v>
      </c>
      <c r="K22" s="749" t="str">
        <f>'Equipment Combat'!H474</f>
        <v>Expert</v>
      </c>
      <c r="L22" s="749"/>
      <c r="M22" s="1355">
        <f>'Equipment Combat'!H477</f>
        <v>0</v>
      </c>
      <c r="N22" s="457" t="s">
        <v>505</v>
      </c>
      <c r="O22" s="1540" t="str">
        <f>CONCATENATE('Equipment Combat'!H483,'Equipment Combat'!H465)</f>
        <v>1d4</v>
      </c>
      <c r="P22" s="1541"/>
      <c r="Q22" s="1318" t="str">
        <f>"+"&amp;'Equipment Combat'!H482</f>
        <v>+4</v>
      </c>
      <c r="R22" s="753" t="str">
        <f>'Equipment Combat'!H481</f>
        <v>STR/DEX</v>
      </c>
      <c r="S22" s="1356" t="str">
        <f>'Equipment Combat'!H466</f>
        <v>Slashing</v>
      </c>
      <c r="T22" s="1357" t="str">
        <f>'Equipment Combat'!H471</f>
        <v>Flail</v>
      </c>
      <c r="U22" s="1358"/>
      <c r="V22" s="1357" t="str">
        <f>'Equipment Combat'!H459&amp;IF('Equipment Combat'!H460="-","",", "&amp;'Equipment Combat'!H460)&amp;IF('Equipment Combat'!H461="-","",", "&amp;'Equipment Combat'!H461)&amp;IF('Equipment Combat'!H462="-","",", "&amp;'Equipment Combat'!H462)&amp;IF('Equipment Combat'!H463="-","",", "&amp;'Equipment Combat'!H463)&amp;IF('Equipment Combat'!H468="-","",", "&amp;'Equipment Combat'!H468)&amp;IF('Equipment Combat'!H469="-","",", "&amp;'Equipment Combat'!H469)</f>
        <v>Martial, Disarm, Finesse, Nonlethal, Reach</v>
      </c>
      <c r="W22" s="1359"/>
      <c r="X22" s="1359"/>
      <c r="Y22" s="1359"/>
      <c r="Z22" s="1359"/>
      <c r="AA22" s="1359"/>
      <c r="AB22" s="1358"/>
      <c r="AC22" s="637"/>
    </row>
    <row r="23" spans="1:29" s="627" customFormat="1" ht="19.5" customHeight="1" x14ac:dyDescent="0.25">
      <c r="A23" s="643"/>
      <c r="B23" s="1360" t="str">
        <f>'Equipment Combat'!H484</f>
        <v>+1 Morningstar</v>
      </c>
      <c r="C23" s="1361"/>
      <c r="D23" s="1361"/>
      <c r="E23" s="1535" t="str">
        <f>'Equipment Combat'!H499</f>
        <v>14/9/4</v>
      </c>
      <c r="F23" s="1535"/>
      <c r="G23" s="751" t="str">
        <f>"= "&amp;'Equipment Combat'!H502</f>
        <v>= 4</v>
      </c>
      <c r="H23" s="1362" t="str">
        <f>'Equipment Combat'!H500</f>
        <v>STR</v>
      </c>
      <c r="I23" s="918"/>
      <c r="J23" s="751" t="str">
        <f>"+ "&amp;'Equipment Combat'!H503</f>
        <v>+ 9</v>
      </c>
      <c r="K23" s="918" t="str">
        <f>'Equipment Combat'!H501</f>
        <v>Expert</v>
      </c>
      <c r="L23" s="918"/>
      <c r="M23" s="1363">
        <f>'Equipment Combat'!H504</f>
        <v>1</v>
      </c>
      <c r="N23" s="457" t="s">
        <v>505</v>
      </c>
      <c r="O23" s="1542" t="str">
        <f>CONCATENATE('Equipment Combat'!H510,'Equipment Combat'!H492)</f>
        <v>1d6</v>
      </c>
      <c r="P23" s="1543"/>
      <c r="Q23" s="1319" t="str">
        <f>"+"&amp;'Equipment Combat'!H509</f>
        <v>+4</v>
      </c>
      <c r="R23" s="917" t="str">
        <f>'Equipment Combat'!H508</f>
        <v>STR</v>
      </c>
      <c r="S23" s="1364" t="str">
        <f>'Equipment Combat'!H493</f>
        <v>Bludgeoning</v>
      </c>
      <c r="T23" s="1365" t="str">
        <f>'Equipment Combat'!H498</f>
        <v>Club</v>
      </c>
      <c r="U23" s="1366"/>
      <c r="V23" s="1365" t="str">
        <f>'Equipment Combat'!H486&amp;IF('Equipment Combat'!H487="-","",", "&amp;'Equipment Combat'!H487)&amp;IF('Equipment Combat'!H488="-","",", "&amp;'Equipment Combat'!H488)&amp;IF('Equipment Combat'!H489="-","",", "&amp;'Equipment Combat'!H489)&amp;IF('Equipment Combat'!H490="-","",", "&amp;'Equipment Combat'!H490)&amp;IF('Equipment Combat'!H495="-","",", "&amp;'Equipment Combat'!H495)&amp;IF('Equipment Combat'!H496="-","",", "&amp;'Equipment Combat'!H496)</f>
        <v>Simple, Versatile P</v>
      </c>
      <c r="W23" s="1367"/>
      <c r="X23" s="1367"/>
      <c r="Y23" s="1367"/>
      <c r="Z23" s="1367"/>
      <c r="AA23" s="1367"/>
      <c r="AB23" s="1366"/>
      <c r="AC23" s="637"/>
    </row>
    <row r="24" spans="1:29" s="450" customFormat="1" ht="19.5" customHeight="1" x14ac:dyDescent="0.3">
      <c r="A24" s="648"/>
      <c r="B24" s="640" t="s">
        <v>19</v>
      </c>
      <c r="C24" s="640"/>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490"/>
      <c r="P25" s="490"/>
      <c r="Q25" s="490"/>
      <c r="R25" s="489" t="s">
        <v>7</v>
      </c>
      <c r="S25" s="490"/>
      <c r="T25" s="489" t="s">
        <v>79</v>
      </c>
      <c r="U25" s="490"/>
      <c r="V25" s="490"/>
      <c r="W25" s="489" t="s">
        <v>324</v>
      </c>
      <c r="X25" s="490"/>
      <c r="Y25" s="490"/>
      <c r="Z25" s="489" t="s">
        <v>342</v>
      </c>
      <c r="AA25" s="490"/>
      <c r="AB25" s="489" t="s">
        <v>301</v>
      </c>
      <c r="AC25" s="637"/>
    </row>
    <row r="26" spans="1:29" ht="19.5" customHeight="1" x14ac:dyDescent="0.25">
      <c r="A26" s="643"/>
      <c r="B26" s="754" t="s">
        <v>20</v>
      </c>
      <c r="C26" s="755"/>
      <c r="D26" s="756">
        <f>Skills!H8</f>
        <v>11</v>
      </c>
      <c r="E26" s="732" t="s">
        <v>502</v>
      </c>
      <c r="F26" s="733">
        <f>Skills!H49</f>
        <v>2</v>
      </c>
      <c r="G26" s="733" t="s">
        <v>499</v>
      </c>
      <c r="H26" s="1339">
        <f>Skills!H175</f>
        <v>9</v>
      </c>
      <c r="I26" s="731" t="str">
        <f>Skills!H96</f>
        <v>Expert</v>
      </c>
      <c r="J26" s="731"/>
      <c r="K26" s="734" t="s">
        <v>499</v>
      </c>
      <c r="L26" s="734"/>
      <c r="M26" s="734" t="s">
        <v>499</v>
      </c>
      <c r="N26" s="735">
        <f>Skills!H277</f>
        <v>0</v>
      </c>
      <c r="O26" s="754" t="s">
        <v>60</v>
      </c>
      <c r="P26" s="755"/>
      <c r="Q26" s="1340"/>
      <c r="R26" s="756">
        <f>Skills!H25</f>
        <v>0</v>
      </c>
      <c r="S26" s="732" t="s">
        <v>502</v>
      </c>
      <c r="T26" s="733">
        <f>Skills!H63</f>
        <v>0</v>
      </c>
      <c r="U26" s="733" t="s">
        <v>499</v>
      </c>
      <c r="V26" s="733">
        <f>Skills!H189</f>
        <v>0</v>
      </c>
      <c r="W26" s="731" t="str">
        <f>Skills!H124</f>
        <v>Untrained</v>
      </c>
      <c r="X26" s="731"/>
      <c r="Y26" s="734" t="s">
        <v>499</v>
      </c>
      <c r="Z26" s="734"/>
      <c r="AA26" s="734" t="s">
        <v>499</v>
      </c>
      <c r="AB26" s="736"/>
      <c r="AC26" s="637"/>
    </row>
    <row r="27" spans="1:29" ht="19.5" customHeight="1" x14ac:dyDescent="0.25">
      <c r="A27" s="643"/>
      <c r="B27" s="757" t="s">
        <v>51</v>
      </c>
      <c r="C27" s="758"/>
      <c r="D27" s="759">
        <f>Skills!H9</f>
        <v>0</v>
      </c>
      <c r="E27" s="738" t="s">
        <v>502</v>
      </c>
      <c r="F27" s="739">
        <f>Skills!H50</f>
        <v>0</v>
      </c>
      <c r="G27" s="739" t="s">
        <v>499</v>
      </c>
      <c r="H27" s="1341">
        <f>Skills!H176</f>
        <v>0</v>
      </c>
      <c r="I27" s="737" t="str">
        <f>Skills!H98</f>
        <v>Untrained</v>
      </c>
      <c r="J27" s="737"/>
      <c r="K27" s="740" t="s">
        <v>499</v>
      </c>
      <c r="L27" s="740"/>
      <c r="M27" s="740" t="s">
        <v>499</v>
      </c>
      <c r="N27" s="741"/>
      <c r="O27" s="757" t="s">
        <v>61</v>
      </c>
      <c r="P27" s="758"/>
      <c r="Q27" s="1342"/>
      <c r="R27" s="759">
        <f>Skills!H26</f>
        <v>2</v>
      </c>
      <c r="S27" s="738" t="s">
        <v>502</v>
      </c>
      <c r="T27" s="739">
        <f>Skills!H64</f>
        <v>2</v>
      </c>
      <c r="U27" s="739" t="s">
        <v>499</v>
      </c>
      <c r="V27" s="739">
        <f>Skills!H190</f>
        <v>0</v>
      </c>
      <c r="W27" s="737" t="str">
        <f>Skills!H126</f>
        <v>Untrained</v>
      </c>
      <c r="X27" s="737"/>
      <c r="Y27" s="740" t="s">
        <v>499</v>
      </c>
      <c r="Z27" s="740"/>
      <c r="AA27" s="740" t="s">
        <v>499</v>
      </c>
      <c r="AB27" s="741"/>
      <c r="AC27" s="637"/>
    </row>
    <row r="28" spans="1:29" ht="19.5" customHeight="1" x14ac:dyDescent="0.25">
      <c r="A28" s="643"/>
      <c r="B28" s="757" t="s">
        <v>52</v>
      </c>
      <c r="C28" s="758"/>
      <c r="D28" s="759">
        <f>Skills!H10</f>
        <v>13</v>
      </c>
      <c r="E28" s="738" t="s">
        <v>502</v>
      </c>
      <c r="F28" s="739">
        <f>Skills!H51</f>
        <v>4</v>
      </c>
      <c r="G28" s="739" t="s">
        <v>499</v>
      </c>
      <c r="H28" s="1341">
        <f>Skills!H177</f>
        <v>9</v>
      </c>
      <c r="I28" s="737" t="str">
        <f>Skills!H100</f>
        <v>Expert</v>
      </c>
      <c r="J28" s="737"/>
      <c r="K28" s="740" t="s">
        <v>499</v>
      </c>
      <c r="L28" s="740"/>
      <c r="M28" s="740" t="s">
        <v>499</v>
      </c>
      <c r="N28" s="742">
        <f>Skills!H278</f>
        <v>0</v>
      </c>
      <c r="O28" s="757" t="s">
        <v>62</v>
      </c>
      <c r="P28" s="758"/>
      <c r="Q28" s="758"/>
      <c r="R28" s="759">
        <f>Skills!H27</f>
        <v>0</v>
      </c>
      <c r="S28" s="738" t="s">
        <v>502</v>
      </c>
      <c r="T28" s="739">
        <f>Skills!H65</f>
        <v>0</v>
      </c>
      <c r="U28" s="739" t="s">
        <v>499</v>
      </c>
      <c r="V28" s="739">
        <f>Skills!H191</f>
        <v>0</v>
      </c>
      <c r="W28" s="737" t="str">
        <f>Skills!H128</f>
        <v>Untrained</v>
      </c>
      <c r="X28" s="737"/>
      <c r="Y28" s="740" t="s">
        <v>499</v>
      </c>
      <c r="Z28" s="740"/>
      <c r="AA28" s="740" t="s">
        <v>499</v>
      </c>
      <c r="AB28" s="741"/>
      <c r="AC28" s="637"/>
    </row>
    <row r="29" spans="1:29" ht="19.5" customHeight="1" x14ac:dyDescent="0.25">
      <c r="A29" s="643"/>
      <c r="B29" s="757" t="s">
        <v>53</v>
      </c>
      <c r="C29" s="758"/>
      <c r="D29" s="759">
        <f>Skills!H11</f>
        <v>0</v>
      </c>
      <c r="E29" s="738" t="s">
        <v>502</v>
      </c>
      <c r="F29" s="739">
        <f>Skills!H52</f>
        <v>0</v>
      </c>
      <c r="G29" s="739" t="s">
        <v>499</v>
      </c>
      <c r="H29" s="1341">
        <f>Skills!H178</f>
        <v>0</v>
      </c>
      <c r="I29" s="737" t="str">
        <f>Skills!H102</f>
        <v>Untrained</v>
      </c>
      <c r="J29" s="737"/>
      <c r="K29" s="740" t="s">
        <v>499</v>
      </c>
      <c r="L29" s="740"/>
      <c r="M29" s="740" t="s">
        <v>499</v>
      </c>
      <c r="N29" s="741"/>
      <c r="O29" s="757" t="s">
        <v>23</v>
      </c>
      <c r="P29" s="758"/>
      <c r="Q29" s="1342"/>
      <c r="R29" s="759">
        <f>Skills!H28</f>
        <v>9</v>
      </c>
      <c r="S29" s="738" t="s">
        <v>502</v>
      </c>
      <c r="T29" s="739">
        <f>Skills!H66</f>
        <v>2</v>
      </c>
      <c r="U29" s="739" t="s">
        <v>499</v>
      </c>
      <c r="V29" s="739">
        <f>Skills!H192</f>
        <v>7</v>
      </c>
      <c r="W29" s="737" t="str">
        <f>Skills!H130</f>
        <v>Trained</v>
      </c>
      <c r="X29" s="737"/>
      <c r="Y29" s="740" t="s">
        <v>499</v>
      </c>
      <c r="Z29" s="740"/>
      <c r="AA29" s="740" t="s">
        <v>499</v>
      </c>
      <c r="AB29" s="742">
        <f>Skills!H279</f>
        <v>0</v>
      </c>
      <c r="AC29" s="637"/>
    </row>
    <row r="30" spans="1:29" ht="19.5" customHeight="1" x14ac:dyDescent="0.25">
      <c r="A30" s="643"/>
      <c r="B30" s="757" t="s">
        <v>54</v>
      </c>
      <c r="C30" s="758"/>
      <c r="D30" s="759">
        <f>Skills!H12</f>
        <v>0</v>
      </c>
      <c r="E30" s="738" t="s">
        <v>502</v>
      </c>
      <c r="F30" s="739">
        <f>Skills!H53</f>
        <v>0</v>
      </c>
      <c r="G30" s="739" t="s">
        <v>499</v>
      </c>
      <c r="H30" s="1341">
        <f>Skills!H179</f>
        <v>0</v>
      </c>
      <c r="I30" s="737" t="str">
        <f>Skills!H104</f>
        <v>Untrained</v>
      </c>
      <c r="J30" s="737"/>
      <c r="K30" s="740" t="s">
        <v>499</v>
      </c>
      <c r="L30" s="740"/>
      <c r="M30" s="740" t="s">
        <v>499</v>
      </c>
      <c r="N30" s="741"/>
      <c r="O30" s="757" t="s">
        <v>24</v>
      </c>
      <c r="P30" s="758"/>
      <c r="Q30" s="1342"/>
      <c r="R30" s="759">
        <f>Skills!H29</f>
        <v>9</v>
      </c>
      <c r="S30" s="738" t="s">
        <v>502</v>
      </c>
      <c r="T30" s="739">
        <f>Skills!H67</f>
        <v>2</v>
      </c>
      <c r="U30" s="739" t="s">
        <v>499</v>
      </c>
      <c r="V30" s="739">
        <f>Skills!H193</f>
        <v>7</v>
      </c>
      <c r="W30" s="737" t="str">
        <f>Skills!H132</f>
        <v>Trained</v>
      </c>
      <c r="X30" s="737"/>
      <c r="Y30" s="740" t="s">
        <v>499</v>
      </c>
      <c r="Z30" s="740"/>
      <c r="AA30" s="740" t="s">
        <v>499</v>
      </c>
      <c r="AB30" s="741"/>
      <c r="AC30" s="637"/>
    </row>
    <row r="31" spans="1:29" ht="19.5" customHeight="1" x14ac:dyDescent="0.25">
      <c r="A31" s="643"/>
      <c r="B31" s="757" t="s">
        <v>21</v>
      </c>
      <c r="C31" s="758"/>
      <c r="D31" s="759">
        <f>Skills!H13</f>
        <v>0</v>
      </c>
      <c r="E31" s="738" t="s">
        <v>502</v>
      </c>
      <c r="F31" s="739">
        <f>Skills!H54</f>
        <v>0</v>
      </c>
      <c r="G31" s="739" t="s">
        <v>499</v>
      </c>
      <c r="H31" s="1341">
        <f>Skills!H180</f>
        <v>0</v>
      </c>
      <c r="I31" s="737" t="str">
        <f>Skills!H106</f>
        <v>Untrained</v>
      </c>
      <c r="J31" s="737"/>
      <c r="K31" s="740" t="s">
        <v>499</v>
      </c>
      <c r="L31" s="740"/>
      <c r="M31" s="740" t="s">
        <v>499</v>
      </c>
      <c r="N31" s="741"/>
      <c r="O31" s="757" t="s">
        <v>63</v>
      </c>
      <c r="P31" s="758"/>
      <c r="Q31" s="1342"/>
      <c r="R31" s="759">
        <f>Skills!H30</f>
        <v>2</v>
      </c>
      <c r="S31" s="738" t="s">
        <v>502</v>
      </c>
      <c r="T31" s="739">
        <f>Skills!H68</f>
        <v>2</v>
      </c>
      <c r="U31" s="739" t="s">
        <v>499</v>
      </c>
      <c r="V31" s="739">
        <f>Skills!H194</f>
        <v>0</v>
      </c>
      <c r="W31" s="737" t="str">
        <f>Skills!H134</f>
        <v>Untrained</v>
      </c>
      <c r="X31" s="737"/>
      <c r="Y31" s="740" t="s">
        <v>499</v>
      </c>
      <c r="Z31" s="740"/>
      <c r="AA31" s="740" t="s">
        <v>499</v>
      </c>
      <c r="AB31" s="742">
        <f>Skills!H280</f>
        <v>0</v>
      </c>
      <c r="AC31" s="637"/>
    </row>
    <row r="32" spans="1:29" ht="19.5" customHeight="1" x14ac:dyDescent="0.25">
      <c r="A32" s="643"/>
      <c r="B32" s="757" t="s">
        <v>55</v>
      </c>
      <c r="C32" s="758"/>
      <c r="D32" s="759">
        <f>Skills!H14</f>
        <v>7</v>
      </c>
      <c r="E32" s="738" t="s">
        <v>502</v>
      </c>
      <c r="F32" s="739">
        <f>Skills!H55</f>
        <v>0</v>
      </c>
      <c r="G32" s="739" t="s">
        <v>499</v>
      </c>
      <c r="H32" s="1341">
        <f>Skills!H181</f>
        <v>7</v>
      </c>
      <c r="I32" s="737" t="str">
        <f>Skills!H108</f>
        <v>Trained</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40" t="str">
        <f>CONCATENATE("&gt; ",Skills!H17)</f>
        <v>&gt; Warfare</v>
      </c>
      <c r="C33" s="758"/>
      <c r="D33" s="759">
        <f>Skills!H16</f>
        <v>7</v>
      </c>
      <c r="E33" s="738" t="s">
        <v>502</v>
      </c>
      <c r="F33" s="739">
        <f>Skills!H57</f>
        <v>0</v>
      </c>
      <c r="G33" s="739" t="s">
        <v>499</v>
      </c>
      <c r="H33" s="1341">
        <f>Skills!H183</f>
        <v>7</v>
      </c>
      <c r="I33" s="737" t="str">
        <f>Skills!H112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hidden="1" customHeight="1" outlineLevel="1" x14ac:dyDescent="0.25">
      <c r="A34" s="643"/>
      <c r="B34" s="1140" t="str">
        <f>IF(Skills!H19="","",CONCATENATE("&gt; ",Skills!H19))</f>
        <v/>
      </c>
      <c r="C34" s="758"/>
      <c r="D34" s="759" t="str">
        <f>IF(Skills!H19="","",Skills!H18)</f>
        <v/>
      </c>
      <c r="E34" s="738" t="s">
        <v>502</v>
      </c>
      <c r="F34" s="739" t="str">
        <f>IF(Skills!H19="","",Skills!H57)</f>
        <v/>
      </c>
      <c r="G34" s="739" t="s">
        <v>499</v>
      </c>
      <c r="H34" s="1341">
        <f>Skills!H184</f>
        <v>0</v>
      </c>
      <c r="I34" s="737" t="str">
        <f>Skills!H114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collapsed="1" x14ac:dyDescent="0.25">
      <c r="A35" s="643"/>
      <c r="B35" s="760" t="s">
        <v>57</v>
      </c>
      <c r="C35" s="758"/>
      <c r="D35" s="759">
        <f>Skills!H22</f>
        <v>2</v>
      </c>
      <c r="E35" s="738" t="s">
        <v>502</v>
      </c>
      <c r="F35" s="739">
        <f>Skills!H60</f>
        <v>2</v>
      </c>
      <c r="G35" s="739" t="s">
        <v>499</v>
      </c>
      <c r="H35" s="1341">
        <f>Skills!H186</f>
        <v>0</v>
      </c>
      <c r="I35" s="737" t="str">
        <f>Skills!H118</f>
        <v>Untrained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Skills!H23</f>
        <v>2</v>
      </c>
      <c r="E36" s="738" t="s">
        <v>502</v>
      </c>
      <c r="F36" s="739">
        <f>Skills!H61</f>
        <v>2</v>
      </c>
      <c r="G36" s="739" t="s">
        <v>499</v>
      </c>
      <c r="H36" s="1341">
        <f>Skills!H187</f>
        <v>0</v>
      </c>
      <c r="I36" s="737" t="str">
        <f>Skills!H120</f>
        <v>Untrained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Skills!H24</f>
        <v>0</v>
      </c>
      <c r="E37" s="743" t="s">
        <v>502</v>
      </c>
      <c r="F37" s="744">
        <f>Skills!H62</f>
        <v>0</v>
      </c>
      <c r="G37" s="744" t="s">
        <v>499</v>
      </c>
      <c r="H37" s="1344">
        <f>Skills!H188</f>
        <v>0</v>
      </c>
      <c r="I37" s="1345" t="str">
        <f>Skills!H122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906" t="s">
        <v>549</v>
      </c>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649"/>
    </row>
    <row r="39" spans="1:29" s="444" customFormat="1" ht="19.5" customHeight="1" x14ac:dyDescent="0.25">
      <c r="A39" s="646"/>
      <c r="B39" s="722" t="str">
        <f>IF('Equipment Combat'!H512="","",'Equipment Combat'!H512&amp;" -&gt; Trigger : "&amp;'Equipment Combat'!H513&amp;"; Effect : "&amp;'Equipment Combat'!H514&amp;IF('Equipment Combat'!H515="",""," - "&amp;'Equipment Combat'!H515))</f>
        <v>Reactive Shield -&gt; Trigger : You are hit by melee Strike; Effect : Raise sheild - [Wielding shield]</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customHeight="1" x14ac:dyDescent="0.25">
      <c r="A40" s="646"/>
      <c r="B40" s="725" t="str">
        <f>IF('Equipment Combat'!H516="","",'Equipment Combat'!H516&amp;" -&gt; Trigger : "&amp;'Equipment Combat'!H517&amp;"; Effect : "&amp;'Equipment Combat'!H518&amp;IF('Equipment Combat'!H519="",""," - "&amp;'Equipment Combat'!H519))</f>
        <v>Shield Block -&gt; Trigger : You would take damage from physical att; Effect : - Hardness, you and shield each take remaining damage - [Shield raised]</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customHeight="1" x14ac:dyDescent="0.25">
      <c r="A41" s="646"/>
      <c r="B41" s="725" t="str">
        <f>IF('Equipment Combat'!H520="","",'Equipment Combat'!H520&amp;" -&gt; Trigger : "&amp;'Equipment Combat'!H521&amp;"; Effect : "&amp;'Equipment Combat'!H522&amp;IF('Equipment Combat'!H523="",""," - "&amp;'Equipment Combat'!H523))</f>
        <v>Attack of Opportunity -&gt; Trigger : Creature manipulates, move, used ranged or leave; Effect : Strike, disrupt on critical success - [In reach]</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customHeight="1" x14ac:dyDescent="0.25">
      <c r="A42" s="646"/>
      <c r="B42" s="725" t="str">
        <f>IF('Equipment Combat'!H524="","",'Equipment Combat'!H524&amp;" -&gt; Trigger : "&amp;'Equipment Combat'!H525&amp;"; Effect : "&amp;'Equipment Combat'!H526&amp;IF('Equipment Combat'!H527="",""," - "&amp;'Equipment Combat'!H527))</f>
        <v>Fighter Weapon Mastery -&gt; Trigger : Critical success on Strike; Effect : Critical specialization effect - [Master in that weapon/unarmed attack]</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Combat'!H528="","",'Equipment Combat'!H528&amp;" -&gt; Trigger : "&amp;'Equipment Combat'!H529&amp;"; Effect : "&amp;'Equipment Combat'!H530&amp;IF('Equipment Combat'!H531="",""," - "&amp;'Equipment Combat'!H531))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s="627" customFormat="1"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s="627" customFormat="1"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490"/>
      <c r="U46" s="490"/>
      <c r="V46" s="490"/>
      <c r="W46" s="490"/>
      <c r="X46" s="490"/>
      <c r="Y46" s="490"/>
      <c r="Z46" s="490"/>
      <c r="AA46" s="490"/>
      <c r="AB46" s="490"/>
      <c r="AC46" s="637"/>
    </row>
    <row r="47" spans="1:29" s="627" customFormat="1"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s="627" customFormat="1" ht="19.5" customHeight="1" x14ac:dyDescent="0.25">
      <c r="A48" s="656"/>
      <c r="B48" s="1328" t="str">
        <f>IF('Equipment Combat'!H7="","",'Equipment Combat'!H7&amp;" ("&amp;'Equipment Combat'!H114&amp;")")</f>
        <v>Backpack (Back)</v>
      </c>
      <c r="C48" s="1329"/>
      <c r="D48" s="1329"/>
      <c r="E48" s="1330"/>
      <c r="F48" s="1331"/>
      <c r="G48" s="714">
        <f>IF('Equipment Combat'!H60="","",'Equipment Combat'!H60)</f>
        <v>1</v>
      </c>
      <c r="H48" s="715" t="str">
        <f>IF('Equipment Combat'!H114="Stowed","["&amp;IF('Equipment Combat'!#REF!&lt;0.1,"",IF('Equipment Combat'!#REF!&lt;1,INT(10*'Equipment Combat'!#REF!)&amp;"L",INT('Equipment Combat'!#REF!)&amp;"B"))&amp;"]",IF('Equipment Combat'!H277&lt;0.1,"",IF('Equipment Combat'!H277&lt;1,INT(10*'Equipment Combat'!H277)&amp;"L",INT('Equipment Combat'!H277)&amp;"B")))</f>
        <v>9L</v>
      </c>
      <c r="I48" s="1328" t="str">
        <f>IF('Equipment Combat'!H20="","",'Equipment Combat'!H20&amp;" ("&amp;'Equipment Combat'!H127&amp;")")</f>
        <v>Silver Light Hammer (1d6) (Stowed)</v>
      </c>
      <c r="J48" s="1329"/>
      <c r="K48" s="1330"/>
      <c r="L48" s="1331"/>
      <c r="M48" s="1329"/>
      <c r="N48" s="714">
        <f>IF('Equipment Combat'!H73="","",'Equipment Combat'!H73)</f>
        <v>1</v>
      </c>
      <c r="O48" s="715" t="str">
        <f>IF('Equipment Combat'!H127="Stowed","["&amp;IF('Equipment Combat'!H234&lt;0.1,"",IF('Equipment Combat'!H234&lt;1,INT(10*'Equipment Combat'!H234)&amp;"L",INT('Equipment Combat'!H234)&amp;"B"))&amp;"]",IF('Equipment Combat'!H290&lt;0.1,"",IF('Equipment Combat'!H290&lt;1,INT(10*'Equipment Combat'!H290)&amp;"L",INT('Equipment Combat'!H290)&amp;"B")))</f>
        <v>[1L]</v>
      </c>
      <c r="P48" s="1328" t="str">
        <f>IF('Equipment Combat'!H33="","",'Equipment Combat'!H33&amp;" ("&amp;'Equipment Combat'!H140&amp;")")</f>
        <v>+1 Morningstar (Worn)</v>
      </c>
      <c r="Q48" s="1329"/>
      <c r="R48" s="1330"/>
      <c r="S48" s="1331"/>
      <c r="T48" s="1329"/>
      <c r="U48" s="714">
        <f>IF('Equipment Combat'!H86="","",'Equipment Combat'!H86)</f>
        <v>1</v>
      </c>
      <c r="V48" s="715" t="str">
        <f>IF('Equipment Combat'!H140="Stowed","["&amp;IF('Equipment Combat'!H247&lt;0.1,"",IF('Equipment Combat'!H247&lt;1,INT(10*'Equipment Combat'!H247)&amp;"L",INT('Equipment Combat'!H247)&amp;"B"))&amp;"]",IF('Equipment Combat'!H303&lt;0.1,"",IF('Equipment Combat'!H303&lt;1,INT(10*'Equipment Combat'!H303)&amp;"L",INT('Equipment Combat'!H303)&amp;"B")))</f>
        <v>1B</v>
      </c>
      <c r="W48" s="1328" t="str">
        <f>IF('Equipment Combat'!H46="","",'Equipment Combat'!H46&amp;" ("&amp;'Equipment Combat'!H153&amp;")")</f>
        <v/>
      </c>
      <c r="X48" s="1329"/>
      <c r="Y48" s="1331"/>
      <c r="Z48" s="1329"/>
      <c r="AA48" s="714" t="str">
        <f>IF('Equipment Combat'!H99="","",'Equipment Combat'!H99)</f>
        <v/>
      </c>
      <c r="AB48" s="715" t="str">
        <f>IF('Equipment Combat'!H153="Stowed","["&amp;IF('Equipment Combat'!H260&lt;0.1,"",IF('Equipment Combat'!H260&lt;1,INT(10*'Equipment Combat'!H260)&amp;"L",INT('Equipment Combat'!H260)&amp;"B"))&amp;"]",IF('Equipment Combat'!H316&lt;0.1,"",IF('Equipment Combat'!H316&lt;1,INT(10*'Equipment Combat'!H316)&amp;"L",INT('Equipment Combat'!H316)&amp;"B")))</f>
        <v/>
      </c>
      <c r="AC48" s="637"/>
    </row>
    <row r="49" spans="1:29" s="627" customFormat="1" ht="19.5" customHeight="1" x14ac:dyDescent="0.25">
      <c r="A49" s="656"/>
      <c r="B49" s="1332" t="str">
        <f>IF('Equipment Combat'!H8="","",'Equipment Combat'!H8&amp;" ("&amp;'Equipment Combat'!H115&amp;")")</f>
        <v>Bedroll (Stowed)</v>
      </c>
      <c r="C49" s="1333"/>
      <c r="D49" s="1333"/>
      <c r="E49" s="1334"/>
      <c r="F49" s="1335"/>
      <c r="G49" s="716">
        <f>IF('Equipment Combat'!H61="","",'Equipment Combat'!H61)</f>
        <v>1</v>
      </c>
      <c r="H49" s="717" t="str">
        <f>IF('Equipment Combat'!H115="Stowed","["&amp;IF('Equipment Combat'!H222&lt;0.1,"",IF('Equipment Combat'!H222&lt;1,INT(10*'Equipment Combat'!H222)&amp;"L",INT('Equipment Combat'!H222)&amp;"B"))&amp;"]",IF('Equipment Combat'!H278&lt;0.1,"",IF('Equipment Combat'!H278&lt;1,INT(10*'Equipment Combat'!H278)&amp;"L",INT('Equipment Combat'!H278)&amp;"B")))</f>
        <v>[1L]</v>
      </c>
      <c r="I49" s="1332" t="str">
        <f>IF('Equipment Combat'!H21="","",'Equipment Combat'!H21&amp;" ("&amp;'Equipment Combat'!H128&amp;")")</f>
        <v>Arrow (1d8) (Worn)</v>
      </c>
      <c r="J49" s="1333"/>
      <c r="K49" s="1334"/>
      <c r="L49" s="1335"/>
      <c r="M49" s="1333"/>
      <c r="N49" s="716">
        <f>IF('Equipment Combat'!H74="","",'Equipment Combat'!H74)</f>
        <v>19</v>
      </c>
      <c r="O49" s="717" t="str">
        <f>IF('Equipment Combat'!H128="Stowed","["&amp;IF('Equipment Combat'!H235&lt;0.1,"",IF('Equipment Combat'!H235&lt;1,INT(10*'Equipment Combat'!H235)&amp;"L",INT('Equipment Combat'!H235)&amp;"B"))&amp;"]",IF('Equipment Combat'!H291&lt;0.1,"",IF('Equipment Combat'!H291&lt;1,INT(10*'Equipment Combat'!H291)&amp;"L",INT('Equipment Combat'!H291)&amp;"B")))</f>
        <v>1L</v>
      </c>
      <c r="P49" s="1332" t="str">
        <f>IF('Equipment Combat'!H34="","",'Equipment Combat'!H34&amp;" ("&amp;'Equipment Combat'!H141&amp;")")</f>
        <v>Silk Pyjama (25 gp) (Stowed)</v>
      </c>
      <c r="Q49" s="1333"/>
      <c r="R49" s="1334"/>
      <c r="S49" s="1335"/>
      <c r="T49" s="1333"/>
      <c r="U49" s="716">
        <f>IF('Equipment Combat'!H87="","",'Equipment Combat'!H87)</f>
        <v>1</v>
      </c>
      <c r="V49" s="717" t="str">
        <f>IF('Equipment Combat'!H141="Stowed","["&amp;IF('Equipment Combat'!H248&lt;0.1,"",IF('Equipment Combat'!H248&lt;1,INT(10*'Equipment Combat'!H248)&amp;"L",INT('Equipment Combat'!H248)&amp;"B"))&amp;"]",IF('Equipment Combat'!H304&lt;0.1,"",IF('Equipment Combat'!H304&lt;1,INT(10*'Equipment Combat'!H304)&amp;"L",INT('Equipment Combat'!H304)&amp;"B")))</f>
        <v>[1L]</v>
      </c>
      <c r="W49" s="1332" t="str">
        <f>IF('Equipment Combat'!H47="","",'Equipment Combat'!H47&amp;" ("&amp;'Equipment Combat'!H154&amp;")")</f>
        <v/>
      </c>
      <c r="X49" s="1333"/>
      <c r="Y49" s="1335"/>
      <c r="Z49" s="1333"/>
      <c r="AA49" s="716" t="str">
        <f>IF('Equipment Combat'!H100="","",'Equipment Combat'!H100)</f>
        <v/>
      </c>
      <c r="AB49" s="717" t="str">
        <f>IF('Equipment Combat'!H154="Stowed","["&amp;IF('Equipment Combat'!H261&lt;0.1,"",IF('Equipment Combat'!H261&lt;1,INT(10*'Equipment Combat'!H261)&amp;"L",INT('Equipment Combat'!H261)&amp;"B"))&amp;"]",IF('Equipment Combat'!H317&lt;0.1,"",IF('Equipment Combat'!H317&lt;1,INT(10*'Equipment Combat'!H317)&amp;"L",INT('Equipment Combat'!H317)&amp;"B")))</f>
        <v/>
      </c>
      <c r="AC49" s="637"/>
    </row>
    <row r="50" spans="1:29" s="627" customFormat="1" ht="19.5" customHeight="1" x14ac:dyDescent="0.25">
      <c r="A50" s="656"/>
      <c r="B50" s="1332" t="str">
        <f>IF('Equipment Combat'!H9="","",'Equipment Combat'!H9&amp;" ("&amp;'Equipment Combat'!H116&amp;")")</f>
        <v>Chalk (Stowed)</v>
      </c>
      <c r="C50" s="1333"/>
      <c r="D50" s="1333"/>
      <c r="E50" s="1334"/>
      <c r="F50" s="1335"/>
      <c r="G50" s="716">
        <f>IF('Equipment Combat'!H62="","",'Equipment Combat'!H62)</f>
        <v>10</v>
      </c>
      <c r="H50" s="717" t="str">
        <f>IF('Equipment Combat'!H116="Stowed","["&amp;IF('Equipment Combat'!H223&lt;0.1,"",IF('Equipment Combat'!H223&lt;1,INT(10*'Equipment Combat'!H223)&amp;"L",INT('Equipment Combat'!H223)&amp;"B"))&amp;"]",IF('Equipment Combat'!H279&lt;0.1,"",IF('Equipment Combat'!H279&lt;1,INT(10*'Equipment Combat'!H279)&amp;"L",INT('Equipment Combat'!H279)&amp;"B")))</f>
        <v>[]</v>
      </c>
      <c r="I50" s="1332" t="str">
        <f>IF('Equipment Combat'!H22="","",'Equipment Combat'!H22&amp;" ("&amp;'Equipment Combat'!H129&amp;")")</f>
        <v>+1 Hide Armor (+4 M2 -2/14) (Worn)</v>
      </c>
      <c r="J50" s="1333"/>
      <c r="K50" s="1334"/>
      <c r="L50" s="1335"/>
      <c r="M50" s="1333"/>
      <c r="N50" s="716">
        <f>IF('Equipment Combat'!H75="","",'Equipment Combat'!H75)</f>
        <v>1</v>
      </c>
      <c r="O50" s="717" t="str">
        <f>IF('Equipment Combat'!H129="Stowed","["&amp;IF('Equipment Combat'!H236&lt;0.1,"",IF('Equipment Combat'!H236&lt;1,INT(10*'Equipment Combat'!H236)&amp;"L",INT('Equipment Combat'!H236)&amp;"B"))&amp;"]",IF('Equipment Combat'!H292&lt;0.1,"",IF('Equipment Combat'!H292&lt;1,INT(10*'Equipment Combat'!H292)&amp;"L",INT('Equipment Combat'!H292)&amp;"B")))</f>
        <v>2B</v>
      </c>
      <c r="P50" s="1332" t="str">
        <f>IF('Equipment Combat'!H35="","",'Equipment Combat'!H35&amp;" ("&amp;'Equipment Combat'!H142&amp;")")</f>
        <v>Hunter's Arrowhead (Worn)</v>
      </c>
      <c r="Q50" s="1333"/>
      <c r="R50" s="1334"/>
      <c r="S50" s="1335"/>
      <c r="T50" s="1333"/>
      <c r="U50" s="716">
        <f>IF('Equipment Combat'!H88="","",'Equipment Combat'!H88)</f>
        <v>1</v>
      </c>
      <c r="V50" s="717" t="str">
        <f>IF('Equipment Combat'!H142="Stowed","["&amp;IF('Equipment Combat'!H249&lt;0.1,"",IF('Equipment Combat'!H249&lt;1,INT(10*'Equipment Combat'!H249)&amp;"L",INT('Equipment Combat'!H249)&amp;"B"))&amp;"]",IF('Equipment Combat'!H305&lt;0.1,"",IF('Equipment Combat'!H305&lt;1,INT(10*'Equipment Combat'!H305)&amp;"L",INT('Equipment Combat'!H305)&amp;"B")))</f>
        <v/>
      </c>
      <c r="W50" s="1332" t="str">
        <f>IF('Equipment Combat'!H48="","",'Equipment Combat'!H48&amp;" ("&amp;'Equipment Combat'!H155&amp;")")</f>
        <v/>
      </c>
      <c r="X50" s="1333"/>
      <c r="Y50" s="1335"/>
      <c r="Z50" s="1333"/>
      <c r="AA50" s="716" t="str">
        <f>IF('Equipment Combat'!H101="","",'Equipment Combat'!H101)</f>
        <v/>
      </c>
      <c r="AB50" s="717" t="str">
        <f>IF('Equipment Combat'!H155="Stowed","["&amp;IF('Equipment Combat'!H262&lt;0.1,"",IF('Equipment Combat'!H262&lt;1,INT(10*'Equipment Combat'!H262)&amp;"L",INT('Equipment Combat'!H262)&amp;"B"))&amp;"]",IF('Equipment Combat'!H318&lt;0.1,"",IF('Equipment Combat'!H318&lt;1,INT(10*'Equipment Combat'!H318)&amp;"L",INT('Equipment Combat'!H318)&amp;"B")))</f>
        <v/>
      </c>
      <c r="AC50" s="637"/>
    </row>
    <row r="51" spans="1:29" s="627" customFormat="1" ht="19.5" customHeight="1" x14ac:dyDescent="0.25">
      <c r="A51" s="656"/>
      <c r="B51" s="1332" t="str">
        <f>IF('Equipment Combat'!H10="","",'Equipment Combat'!H10&amp;" ("&amp;'Equipment Combat'!H117&amp;")")</f>
        <v>Flint and Steel (Stowed)</v>
      </c>
      <c r="C51" s="1333"/>
      <c r="D51" s="1333"/>
      <c r="E51" s="1334"/>
      <c r="F51" s="1335"/>
      <c r="G51" s="716">
        <f>IF('Equipment Combat'!H63="","",'Equipment Combat'!H63)</f>
        <v>1</v>
      </c>
      <c r="H51" s="717" t="str">
        <f>IF('Equipment Combat'!H117="Stowed","["&amp;IF('Equipment Combat'!H224&lt;0.1,"",IF('Equipment Combat'!H224&lt;1,INT(10*'Equipment Combat'!H224)&amp;"L",INT('Equipment Combat'!H224)&amp;"B"))&amp;"]",IF('Equipment Combat'!H280&lt;0.1,"",IF('Equipment Combat'!H280&lt;1,INT(10*'Equipment Combat'!H280)&amp;"L",INT('Equipment Combat'!H280)&amp;"B")))</f>
        <v>[]</v>
      </c>
      <c r="I51" s="1332" t="str">
        <f>IF('Equipment Combat'!H23="","",'Equipment Combat'!H23&amp;" ("&amp;'Equipment Combat'!H130&amp;")")</f>
        <v>Steel shield (+2 H5 hp20) (Held)</v>
      </c>
      <c r="J51" s="1333"/>
      <c r="K51" s="1334"/>
      <c r="L51" s="1335"/>
      <c r="M51" s="1333"/>
      <c r="N51" s="716">
        <f>IF('Equipment Combat'!H76="","",'Equipment Combat'!H76)</f>
        <v>1</v>
      </c>
      <c r="O51" s="717" t="str">
        <f>IF('Equipment Combat'!H130="Stowed","["&amp;IF('Equipment Combat'!H237&lt;0.1,"",IF('Equipment Combat'!H237&lt;1,INT(10*'Equipment Combat'!H237)&amp;"L",INT('Equipment Combat'!H237)&amp;"B"))&amp;"]",IF('Equipment Combat'!H293&lt;0.1,"",IF('Equipment Combat'!H293&lt;1,INT(10*'Equipment Combat'!H293)&amp;"L",INT('Equipment Combat'!H293)&amp;"B")))</f>
        <v>1B</v>
      </c>
      <c r="P51" s="1332" t="str">
        <f>IF('Equipment Combat'!H36="","",'Equipment Combat'!H36&amp;" ("&amp;'Equipment Combat'!H143&amp;")")</f>
        <v>Deed to Citadel Altaerein (Stowed)</v>
      </c>
      <c r="Q51" s="1333"/>
      <c r="R51" s="1334"/>
      <c r="S51" s="1335"/>
      <c r="T51" s="1333"/>
      <c r="U51" s="716">
        <f>IF('Equipment Combat'!H89="","",'Equipment Combat'!H89)</f>
        <v>1</v>
      </c>
      <c r="V51" s="717" t="str">
        <f>IF('Equipment Combat'!H143="Stowed","["&amp;IF('Equipment Combat'!H250&lt;0.1,"",IF('Equipment Combat'!H250&lt;1,INT(10*'Equipment Combat'!H250)&amp;"L",INT('Equipment Combat'!H250)&amp;"B"))&amp;"]",IF('Equipment Combat'!H306&lt;0.1,"",IF('Equipment Combat'!H306&lt;1,INT(10*'Equipment Combat'!H306)&amp;"L",INT('Equipment Combat'!H306)&amp;"B")))</f>
        <v>[1L]</v>
      </c>
      <c r="W51" s="1332" t="str">
        <f>IF('Equipment Combat'!H49="","",'Equipment Combat'!H49&amp;" ("&amp;'Equipment Combat'!H156&amp;")")</f>
        <v/>
      </c>
      <c r="X51" s="1333"/>
      <c r="Y51" s="1335"/>
      <c r="Z51" s="1333"/>
      <c r="AA51" s="716" t="str">
        <f>IF('Equipment Combat'!H102="","",'Equipment Combat'!H102)</f>
        <v/>
      </c>
      <c r="AB51" s="717" t="str">
        <f>IF('Equipment Combat'!H156="Stowed","["&amp;IF('Equipment Combat'!H263&lt;0.1,"",IF('Equipment Combat'!H263&lt;1,INT(10*'Equipment Combat'!H263)&amp;"L",INT('Equipment Combat'!H263)&amp;"B"))&amp;"]",IF('Equipment Combat'!H319&lt;0.1,"",IF('Equipment Combat'!H319&lt;1,INT(10*'Equipment Combat'!H319)&amp;"L",INT('Equipment Combat'!H319)&amp;"B")))</f>
        <v/>
      </c>
      <c r="AC51" s="637"/>
    </row>
    <row r="52" spans="1:29" s="627" customFormat="1" ht="19.5" customHeight="1" x14ac:dyDescent="0.25">
      <c r="A52" s="656"/>
      <c r="B52" s="1332" t="str">
        <f>IF('Equipment Combat'!H11="","",'Equipment Combat'!H11&amp;" ("&amp;'Equipment Combat'!H118&amp;")")</f>
        <v>Rations (day) (Stowed)</v>
      </c>
      <c r="C52" s="1333"/>
      <c r="D52" s="1333"/>
      <c r="E52" s="1334"/>
      <c r="F52" s="1335"/>
      <c r="G52" s="716">
        <f>IF('Equipment Combat'!H64="","",'Equipment Combat'!H64)</f>
        <v>28</v>
      </c>
      <c r="H52" s="717" t="str">
        <f>IF('Equipment Combat'!H118="Stowed","["&amp;IF('Equipment Combat'!H225&lt;0.1,"",IF('Equipment Combat'!H225&lt;1,INT(10*'Equipment Combat'!H225)&amp;"L",INT('Equipment Combat'!H225)&amp;"B"))&amp;"]",IF('Equipment Combat'!H281&lt;0.1,"",IF('Equipment Combat'!H281&lt;1,INT(10*'Equipment Combat'!H281)&amp;"L",INT('Equipment Combat'!H281)&amp;"B")))</f>
        <v>[4L]</v>
      </c>
      <c r="I52" s="1332" t="str">
        <f>IF('Equipment Combat'!H24="","",'Equipment Combat'!H24&amp;" ("&amp;'Equipment Combat'!H131&amp;")")</f>
        <v>Grappling Hook (Stowed)</v>
      </c>
      <c r="J52" s="1333"/>
      <c r="K52" s="1334"/>
      <c r="L52" s="1335"/>
      <c r="M52" s="1333"/>
      <c r="N52" s="716">
        <f>IF('Equipment Combat'!H77="","",'Equipment Combat'!H77)</f>
        <v>1</v>
      </c>
      <c r="O52" s="717" t="str">
        <f>IF('Equipment Combat'!H131="Stowed","["&amp;IF('Equipment Combat'!H238&lt;0.1,"",IF('Equipment Combat'!H238&lt;1,INT(10*'Equipment Combat'!H238)&amp;"L",INT('Equipment Combat'!H238)&amp;"B"))&amp;"]",IF('Equipment Combat'!H294&lt;0.1,"",IF('Equipment Combat'!H294&lt;1,INT(10*'Equipment Combat'!H294)&amp;"L",INT('Equipment Combat'!H294)&amp;"B")))</f>
        <v>[1L]</v>
      </c>
      <c r="P52" s="1332" t="str">
        <f>IF('Equipment Combat'!H37="","",'Equipment Combat'!H37&amp;" ("&amp;'Equipment Combat'!H144&amp;")")</f>
        <v>Salve of Antiparalysis (Hot Pepper) (Stowed)</v>
      </c>
      <c r="Q52" s="1333"/>
      <c r="R52" s="1334"/>
      <c r="S52" s="1335"/>
      <c r="T52" s="1333"/>
      <c r="U52" s="716">
        <f>IF('Equipment Combat'!H90="","",'Equipment Combat'!H90)</f>
        <v>1</v>
      </c>
      <c r="V52" s="717" t="str">
        <f>IF('Equipment Combat'!H144="Stowed","["&amp;IF('Equipment Combat'!H251&lt;0.1,"",IF('Equipment Combat'!H251&lt;1,INT(10*'Equipment Combat'!H251)&amp;"L",INT('Equipment Combat'!H251)&amp;"B"))&amp;"]",IF('Equipment Combat'!H307&lt;0.1,"",IF('Equipment Combat'!H307&lt;1,INT(10*'Equipment Combat'!H307)&amp;"L",INT('Equipment Combat'!H307)&amp;"B")))</f>
        <v>[1L]</v>
      </c>
      <c r="W52" s="1332" t="str">
        <f>IF('Equipment Combat'!H50="","",'Equipment Combat'!H50&amp;" ("&amp;'Equipment Combat'!H157&amp;")")</f>
        <v/>
      </c>
      <c r="X52" s="1333"/>
      <c r="Y52" s="1335"/>
      <c r="Z52" s="1333"/>
      <c r="AA52" s="716" t="str">
        <f>IF('Equipment Combat'!H103="","",'Equipment Combat'!H103)</f>
        <v/>
      </c>
      <c r="AB52" s="717" t="str">
        <f>IF('Equipment Combat'!H157="Stowed","["&amp;IF('Equipment Combat'!H264&lt;0.1,"",IF('Equipment Combat'!H264&lt;1,INT(10*'Equipment Combat'!H264)&amp;"L",INT('Equipment Combat'!H264)&amp;"B"))&amp;"]",IF('Equipment Combat'!H320&lt;0.1,"",IF('Equipment Combat'!H320&lt;1,INT(10*'Equipment Combat'!H320)&amp;"L",INT('Equipment Combat'!H320)&amp;"B")))</f>
        <v/>
      </c>
      <c r="AC52" s="637"/>
    </row>
    <row r="53" spans="1:29" s="627" customFormat="1" ht="19.5" customHeight="1" x14ac:dyDescent="0.25">
      <c r="A53" s="656"/>
      <c r="B53" s="1332" t="str">
        <f>IF('Equipment Combat'!H12="","",'Equipment Combat'!H12&amp;" ("&amp;'Equipment Combat'!H119&amp;")")</f>
        <v>Rope 50' (Stowed)</v>
      </c>
      <c r="C53" s="1333"/>
      <c r="D53" s="1333"/>
      <c r="E53" s="1334"/>
      <c r="F53" s="1335"/>
      <c r="G53" s="716">
        <f>IF('Equipment Combat'!H65="","",'Equipment Combat'!H65)</f>
        <v>1</v>
      </c>
      <c r="H53" s="717" t="str">
        <f>IF('Equipment Combat'!H119="Stowed","["&amp;IF('Equipment Combat'!H226&lt;0.1,"",IF('Equipment Combat'!H226&lt;1,INT(10*'Equipment Combat'!H226)&amp;"L",INT('Equipment Combat'!H226)&amp;"B"))&amp;"]",IF('Equipment Combat'!H282&lt;0.1,"",IF('Equipment Combat'!H282&lt;1,INT(10*'Equipment Combat'!H282)&amp;"L",INT('Equipment Combat'!H282)&amp;"B")))</f>
        <v>[1L]</v>
      </c>
      <c r="I53" s="1332" t="str">
        <f>IF('Equipment Combat'!H25="","",'Equipment Combat'!H25&amp;" ("&amp;'Equipment Combat'!H132&amp;")")</f>
        <v>Lesser Darkvision Elixir (Stowed)</v>
      </c>
      <c r="J53" s="1333"/>
      <c r="K53" s="1334"/>
      <c r="L53" s="1335"/>
      <c r="M53" s="1333"/>
      <c r="N53" s="716">
        <f>IF('Equipment Combat'!H78="","",'Equipment Combat'!H78)</f>
        <v>3</v>
      </c>
      <c r="O53" s="717" t="str">
        <f>IF('Equipment Combat'!H132="Stowed","["&amp;IF('Equipment Combat'!H239&lt;0.1,"",IF('Equipment Combat'!H239&lt;1,INT(10*'Equipment Combat'!H239)&amp;"L",INT('Equipment Combat'!H239)&amp;"B"))&amp;"]",IF('Equipment Combat'!H295&lt;0.1,"",IF('Equipment Combat'!H295&lt;1,INT(10*'Equipment Combat'!H295)&amp;"L",INT('Equipment Combat'!H295)&amp;"B")))</f>
        <v>[3L]</v>
      </c>
      <c r="P53" s="1332" t="str">
        <f>IF('Equipment Combat'!H38="","",'Equipment Combat'!H38&amp;" ("&amp;'Equipment Combat'!H145&amp;")")</f>
        <v>Vine Arrow (1d8) (Worn)</v>
      </c>
      <c r="Q53" s="1333"/>
      <c r="R53" s="1334"/>
      <c r="S53" s="1335"/>
      <c r="T53" s="1333"/>
      <c r="U53" s="716">
        <f>IF('Equipment Combat'!H91="","",'Equipment Combat'!H91)</f>
        <v>5</v>
      </c>
      <c r="V53" s="717" t="str">
        <f>IF('Equipment Combat'!H145="Stowed","["&amp;IF('Equipment Combat'!H252&lt;0.1,"",IF('Equipment Combat'!H252&lt;1,INT(10*'Equipment Combat'!H252)&amp;"L",INT('Equipment Combat'!H252)&amp;"B"))&amp;"]",IF('Equipment Combat'!H308&lt;0.1,"",IF('Equipment Combat'!H308&lt;1,INT(10*'Equipment Combat'!H308)&amp;"L",INT('Equipment Combat'!H308)&amp;"B")))</f>
        <v/>
      </c>
      <c r="W53" s="1332" t="str">
        <f>IF('Equipment Combat'!H51="","",'Equipment Combat'!H51&amp;" ("&amp;'Equipment Combat'!H158&amp;")")</f>
        <v/>
      </c>
      <c r="X53" s="1333"/>
      <c r="Y53" s="1335"/>
      <c r="Z53" s="1333"/>
      <c r="AA53" s="716" t="str">
        <f>IF('Equipment Combat'!H104="","",'Equipment Combat'!H104)</f>
        <v/>
      </c>
      <c r="AB53" s="717" t="str">
        <f>IF('Equipment Combat'!H158="Stowed","["&amp;IF('Equipment Combat'!H265&lt;0.1,"",IF('Equipment Combat'!H265&lt;1,INT(10*'Equipment Combat'!H265)&amp;"L",INT('Equipment Combat'!H265)&amp;"B"))&amp;"]",IF('Equipment Combat'!H321&lt;0.1,"",IF('Equipment Combat'!H321&lt;1,INT(10*'Equipment Combat'!H321)&amp;"L",INT('Equipment Combat'!H321)&amp;"B")))</f>
        <v/>
      </c>
      <c r="AC53" s="637"/>
    </row>
    <row r="54" spans="1:29" s="627" customFormat="1" ht="19.5" customHeight="1" x14ac:dyDescent="0.25">
      <c r="A54" s="656"/>
      <c r="B54" s="1332" t="str">
        <f>IF('Equipment Combat'!H13="","",'Equipment Combat'!H13&amp;" ("&amp;'Equipment Combat'!H120&amp;")")</f>
        <v>Soap (Stowed)</v>
      </c>
      <c r="C54" s="1333"/>
      <c r="D54" s="1333"/>
      <c r="E54" s="1334"/>
      <c r="F54" s="1335"/>
      <c r="G54" s="716">
        <f>IF('Equipment Combat'!H66="","",'Equipment Combat'!H66)</f>
        <v>1</v>
      </c>
      <c r="H54" s="717" t="str">
        <f>IF('Equipment Combat'!H120="Stowed","["&amp;IF('Equipment Combat'!H227&lt;0.1,"",IF('Equipment Combat'!H227&lt;1,INT(10*'Equipment Combat'!H227)&amp;"L",INT('Equipment Combat'!H227)&amp;"B"))&amp;"]",IF('Equipment Combat'!H283&lt;0.1,"",IF('Equipment Combat'!H283&lt;1,INT(10*'Equipment Combat'!H283)&amp;"L",INT('Equipment Combat'!H283)&amp;"B")))</f>
        <v>[]</v>
      </c>
      <c r="I54" s="1332" t="str">
        <f>IF('Equipment Combat'!H26="","",'Equipment Combat'!H26&amp;" ("&amp;'Equipment Combat'!H133&amp;")")</f>
        <v>Minor Healing Potion (Worn)</v>
      </c>
      <c r="J54" s="1333"/>
      <c r="K54" s="1334"/>
      <c r="L54" s="1335"/>
      <c r="M54" s="1333"/>
      <c r="N54" s="716">
        <f>IF('Equipment Combat'!H79="","",'Equipment Combat'!H79)</f>
        <v>1</v>
      </c>
      <c r="O54" s="717" t="str">
        <f>IF('Equipment Combat'!H133="Stowed","["&amp;IF('Equipment Combat'!H240&lt;0.1,"",IF('Equipment Combat'!H240&lt;1,INT(10*'Equipment Combat'!H240)&amp;"L",INT('Equipment Combat'!H240)&amp;"B"))&amp;"]",IF('Equipment Combat'!H296&lt;0.1,"",IF('Equipment Combat'!H296&lt;1,INT(10*'Equipment Combat'!H296)&amp;"L",INT('Equipment Combat'!H296)&amp;"B")))</f>
        <v>1L</v>
      </c>
      <c r="P54" s="1332" t="str">
        <f>IF('Equipment Combat'!H39="","",'Equipment Combat'!H39&amp;" ("&amp;'Equipment Combat'!H146&amp;")")</f>
        <v>Tent (Pup) (Stowed)</v>
      </c>
      <c r="Q54" s="1333"/>
      <c r="R54" s="1334"/>
      <c r="S54" s="1335"/>
      <c r="T54" s="1333"/>
      <c r="U54" s="716">
        <f>IF('Equipment Combat'!H92="","",'Equipment Combat'!H92)</f>
        <v>4</v>
      </c>
      <c r="V54" s="717" t="str">
        <f>IF('Equipment Combat'!H146="Stowed","["&amp;IF('Equipment Combat'!H253&lt;0.1,"",IF('Equipment Combat'!H253&lt;1,INT(10*'Equipment Combat'!H253)&amp;"L",INT('Equipment Combat'!H253)&amp;"B"))&amp;"]",IF('Equipment Combat'!H309&lt;0.1,"",IF('Equipment Combat'!H309&lt;1,INT(10*'Equipment Combat'!H309)&amp;"L",INT('Equipment Combat'!H309)&amp;"B")))</f>
        <v>[4L]</v>
      </c>
      <c r="W54" s="1332" t="str">
        <f>IF('Equipment Combat'!H52="","",'Equipment Combat'!H52&amp;" ("&amp;'Equipment Combat'!H159&amp;")")</f>
        <v/>
      </c>
      <c r="X54" s="1333"/>
      <c r="Y54" s="1335"/>
      <c r="Z54" s="1333"/>
      <c r="AA54" s="716" t="str">
        <f>IF('Equipment Combat'!H105="","",'Equipment Combat'!H105)</f>
        <v/>
      </c>
      <c r="AB54" s="717" t="str">
        <f>IF('Equipment Combat'!H159="Stowed","["&amp;IF('Equipment Combat'!H266&lt;0.1,"",IF('Equipment Combat'!H266&lt;1,INT(10*'Equipment Combat'!H266)&amp;"L",INT('Equipment Combat'!H266)&amp;"B"))&amp;"]",IF('Equipment Combat'!H322&lt;0.1,"",IF('Equipment Combat'!H322&lt;1,INT(10*'Equipment Combat'!H322)&amp;"L",INT('Equipment Combat'!H322)&amp;"B")))</f>
        <v/>
      </c>
      <c r="AC54" s="637"/>
    </row>
    <row r="55" spans="1:29" s="627" customFormat="1" ht="19.5" customHeight="1" x14ac:dyDescent="0.25">
      <c r="A55" s="656"/>
      <c r="B55" s="1332" t="str">
        <f>IF('Equipment Combat'!H14="","",'Equipment Combat'!H14&amp;" ("&amp;'Equipment Combat'!H121&amp;")")</f>
        <v>Torch (Stowed)</v>
      </c>
      <c r="C55" s="1333"/>
      <c r="D55" s="1333"/>
      <c r="E55" s="1334"/>
      <c r="F55" s="1335"/>
      <c r="G55" s="716">
        <f>IF('Equipment Combat'!H67="","",'Equipment Combat'!H67)</f>
        <v>5</v>
      </c>
      <c r="H55" s="717" t="str">
        <f>IF('Equipment Combat'!H121="Stowed","["&amp;IF('Equipment Combat'!H228&lt;0.1,"",IF('Equipment Combat'!H228&lt;1,INT(10*'Equipment Combat'!H228)&amp;"L",INT('Equipment Combat'!H228)&amp;"B"))&amp;"]",IF('Equipment Combat'!H284&lt;0.1,"",IF('Equipment Combat'!H284&lt;1,INT(10*'Equipment Combat'!H284)&amp;"L",INT('Equipment Combat'!H284)&amp;"B")))</f>
        <v>[5L]</v>
      </c>
      <c r="I55" s="1332" t="str">
        <f>IF('Equipment Combat'!H27="","",'Equipment Combat'!H27&amp;" ("&amp;'Equipment Combat'!H134&amp;")")</f>
        <v>Potency Crystal (Worn)</v>
      </c>
      <c r="J55" s="1333"/>
      <c r="K55" s="1334"/>
      <c r="L55" s="1335"/>
      <c r="M55" s="1333"/>
      <c r="N55" s="716">
        <f>IF('Equipment Combat'!H80="","",'Equipment Combat'!H80)</f>
        <v>1</v>
      </c>
      <c r="O55" s="717" t="str">
        <f>IF('Equipment Combat'!H134="Stowed","["&amp;IF('Equipment Combat'!H241&lt;0.1,"",IF('Equipment Combat'!H241&lt;1,INT(10*'Equipment Combat'!H241)&amp;"L",INT('Equipment Combat'!H241)&amp;"B"))&amp;"]",IF('Equipment Combat'!H297&lt;0.1,"",IF('Equipment Combat'!H297&lt;1,INT(10*'Equipment Combat'!H297)&amp;"L",INT('Equipment Combat'!H297)&amp;"B")))</f>
        <v/>
      </c>
      <c r="P55" s="1332" t="str">
        <f>IF('Equipment Combat'!H40="","",'Equipment Combat'!H40&amp;" ("&amp;'Equipment Combat'!H147&amp;")")</f>
        <v>Mosquito Netting (6 sp) (Stowed)</v>
      </c>
      <c r="Q55" s="1333"/>
      <c r="R55" s="1334"/>
      <c r="S55" s="1335"/>
      <c r="T55" s="1333"/>
      <c r="U55" s="716">
        <f>IF('Equipment Combat'!H93="","",'Equipment Combat'!H93)</f>
        <v>4</v>
      </c>
      <c r="V55" s="717" t="str">
        <f>IF('Equipment Combat'!H147="Stowed","["&amp;IF('Equipment Combat'!H254&lt;0.1,"",IF('Equipment Combat'!H254&lt;1,INT(10*'Equipment Combat'!H254)&amp;"L",INT('Equipment Combat'!H254)&amp;"B"))&amp;"]",IF('Equipment Combat'!H310&lt;0.1,"",IF('Equipment Combat'!H310&lt;1,INT(10*'Equipment Combat'!H310)&amp;"L",INT('Equipment Combat'!H310)&amp;"B")))</f>
        <v>[4L]</v>
      </c>
      <c r="W55" s="1332" t="str">
        <f>IF('Equipment Combat'!H53="","",'Equipment Combat'!H53&amp;" ("&amp;'Equipment Combat'!H160&amp;")")</f>
        <v/>
      </c>
      <c r="X55" s="1333"/>
      <c r="Y55" s="1335"/>
      <c r="Z55" s="1333"/>
      <c r="AA55" s="716" t="str">
        <f>IF('Equipment Combat'!H106="","",'Equipment Combat'!H106)</f>
        <v/>
      </c>
      <c r="AB55" s="717" t="str">
        <f>IF('Equipment Combat'!H160="Stowed","["&amp;IF('Equipment Combat'!H267&lt;0.1,"",IF('Equipment Combat'!H267&lt;1,INT(10*'Equipment Combat'!H267)&amp;"L",INT('Equipment Combat'!H267)&amp;"B"))&amp;"]",IF('Equipment Combat'!H323&lt;0.1,"",IF('Equipment Combat'!H323&lt;1,INT(10*'Equipment Combat'!H323)&amp;"L",INT('Equipment Combat'!H323)&amp;"B")))</f>
        <v/>
      </c>
      <c r="AC55" s="637"/>
    </row>
    <row r="56" spans="1:29" s="627" customFormat="1" ht="19.5" customHeight="1" x14ac:dyDescent="0.25">
      <c r="A56" s="656"/>
      <c r="B56" s="1332" t="str">
        <f>IF('Equipment Combat'!H15="","",'Equipment Combat'!H15&amp;" ("&amp;'Equipment Combat'!H122&amp;")")</f>
        <v>Waterskin (Stowed)</v>
      </c>
      <c r="C56" s="1333"/>
      <c r="D56" s="1333"/>
      <c r="E56" s="1334"/>
      <c r="F56" s="1335"/>
      <c r="G56" s="716">
        <f>IF('Equipment Combat'!H68="","",'Equipment Combat'!H68)</f>
        <v>1</v>
      </c>
      <c r="H56" s="717" t="str">
        <f>IF('Equipment Combat'!H122="Stowed","["&amp;IF('Equipment Combat'!H229&lt;0.1,"",IF('Equipment Combat'!H229&lt;1,INT(10*'Equipment Combat'!H229)&amp;"L",INT('Equipment Combat'!H229)&amp;"B"))&amp;"]",IF('Equipment Combat'!H285&lt;0.1,"",IF('Equipment Combat'!H285&lt;1,INT(10*'Equipment Combat'!H285)&amp;"L",INT('Equipment Combat'!H285)&amp;"B")))</f>
        <v>[1L]</v>
      </c>
      <c r="I56" s="1332" t="str">
        <f>IF('Equipment Combat'!H28="","",'Equipment Combat'!H28&amp;" ("&amp;'Equipment Combat'!H135&amp;")")</f>
        <v>Wolf Fang Talisman (Worn)</v>
      </c>
      <c r="J56" s="1333"/>
      <c r="K56" s="1334"/>
      <c r="L56" s="1335"/>
      <c r="M56" s="1333"/>
      <c r="N56" s="716">
        <f>IF('Equipment Combat'!H81="","",'Equipment Combat'!H81)</f>
        <v>1</v>
      </c>
      <c r="O56" s="717" t="str">
        <f>IF('Equipment Combat'!H135="Stowed","["&amp;IF('Equipment Combat'!H242&lt;0.1,"",IF('Equipment Combat'!H242&lt;1,INT(10*'Equipment Combat'!H242)&amp;"L",INT('Equipment Combat'!H242)&amp;"B"))&amp;"]",IF('Equipment Combat'!H298&lt;0.1,"",IF('Equipment Combat'!H298&lt;1,INT(10*'Equipment Combat'!H298)&amp;"L",INT('Equipment Combat'!H298)&amp;"B")))</f>
        <v/>
      </c>
      <c r="P56" s="1332" t="str">
        <f>IF('Equipment Combat'!H41="","",'Equipment Combat'!H41&amp;" ("&amp;'Equipment Combat'!H148&amp;")")</f>
        <v>Elixir of Life (Lesser) (Worn)</v>
      </c>
      <c r="Q56" s="1333"/>
      <c r="R56" s="1334"/>
      <c r="S56" s="1335"/>
      <c r="T56" s="1333"/>
      <c r="U56" s="716">
        <f>IF('Equipment Combat'!H94="","",'Equipment Combat'!H94)</f>
        <v>1</v>
      </c>
      <c r="V56" s="717" t="str">
        <f>IF('Equipment Combat'!H148="Stowed","["&amp;IF('Equipment Combat'!H255&lt;0.1,"",IF('Equipment Combat'!H255&lt;1,INT(10*'Equipment Combat'!H255)&amp;"L",INT('Equipment Combat'!H255)&amp;"B"))&amp;"]",IF('Equipment Combat'!H311&lt;0.1,"",IF('Equipment Combat'!H311&lt;1,INT(10*'Equipment Combat'!H311)&amp;"L",INT('Equipment Combat'!H311)&amp;"B")))</f>
        <v>1L</v>
      </c>
      <c r="W56" s="1332" t="str">
        <f>IF('Equipment Combat'!H54="","",'Equipment Combat'!H54&amp;" ("&amp;'Equipment Combat'!H161&amp;")")</f>
        <v/>
      </c>
      <c r="X56" s="1333"/>
      <c r="Y56" s="1335"/>
      <c r="Z56" s="1333"/>
      <c r="AA56" s="716" t="str">
        <f>IF('Equipment Combat'!H107="","",'Equipment Combat'!H107)</f>
        <v/>
      </c>
      <c r="AB56" s="717" t="str">
        <f>IF('Equipment Combat'!H161="Stowed","["&amp;IF('Equipment Combat'!H268&lt;0.1,"",IF('Equipment Combat'!H268&lt;1,INT(10*'Equipment Combat'!H268)&amp;"L",INT('Equipment Combat'!H268)&amp;"B"))&amp;"]",IF('Equipment Combat'!H324&lt;0.1,"",IF('Equipment Combat'!H324&lt;1,INT(10*'Equipment Combat'!H324)&amp;"L",INT('Equipment Combat'!H324)&amp;"B")))</f>
        <v/>
      </c>
      <c r="AC56" s="637"/>
    </row>
    <row r="57" spans="1:29" s="627" customFormat="1" ht="19.5" customHeight="1" x14ac:dyDescent="0.25">
      <c r="A57" s="656"/>
      <c r="B57" s="1332" t="str">
        <f>IF('Equipment Combat'!H16="","",'Equipment Combat'!H16&amp;" ("&amp;'Equipment Combat'!H123&amp;")")</f>
        <v>+1 Sickle (1d4) (Stowed)</v>
      </c>
      <c r="C57" s="1333"/>
      <c r="D57" s="1333"/>
      <c r="E57" s="1334"/>
      <c r="F57" s="1335"/>
      <c r="G57" s="716">
        <f>IF('Equipment Combat'!H69="","",'Equipment Combat'!H69)</f>
        <v>1</v>
      </c>
      <c r="H57" s="717" t="str">
        <f>IF('Equipment Combat'!H123="Stowed","["&amp;IF('Equipment Combat'!H230&lt;0.1,"",IF('Equipment Combat'!H230&lt;1,INT(10*'Equipment Combat'!H230)&amp;"L",INT('Equipment Combat'!H230)&amp;"B"))&amp;"]",IF('Equipment Combat'!H286&lt;0.1,"",IF('Equipment Combat'!H286&lt;1,INT(10*'Equipment Combat'!H286)&amp;"L",INT('Equipment Combat'!H286)&amp;"B")))</f>
        <v>[1L]</v>
      </c>
      <c r="I57" s="1332" t="str">
        <f>IF('Equipment Combat'!H29="","",'Equipment Combat'!H29&amp;" ("&amp;'Equipment Combat'!H136&amp;")")</f>
        <v>Religious Symbol (Platinum, Alseta) (100gp) (Worn)</v>
      </c>
      <c r="J57" s="1333"/>
      <c r="K57" s="1334"/>
      <c r="L57" s="1335"/>
      <c r="M57" s="1333"/>
      <c r="N57" s="716">
        <f>IF('Equipment Combat'!H82="","",'Equipment Combat'!H82)</f>
        <v>1</v>
      </c>
      <c r="O57" s="717" t="str">
        <f>IF('Equipment Combat'!H136="Stowed","["&amp;IF('Equipment Combat'!H243&lt;0.1,"",IF('Equipment Combat'!H243&lt;1,INT(10*'Equipment Combat'!H243)&amp;"L",INT('Equipment Combat'!H243)&amp;"B"))&amp;"]",IF('Equipment Combat'!H299&lt;0.1,"",IF('Equipment Combat'!H299&lt;1,INT(10*'Equipment Combat'!H299)&amp;"L",INT('Equipment Combat'!H299)&amp;"B")))</f>
        <v>1L</v>
      </c>
      <c r="P57" s="1332" t="str">
        <f>IF('Equipment Combat'!H42="","",'Equipment Combat'!H42&amp;" ("&amp;'Equipment Combat'!H149&amp;")")</f>
        <v>Antiplague (Lesser) (Worn)</v>
      </c>
      <c r="Q57" s="1333"/>
      <c r="R57" s="1334"/>
      <c r="S57" s="1335"/>
      <c r="T57" s="1333"/>
      <c r="U57" s="716">
        <f>IF('Equipment Combat'!H95="","",'Equipment Combat'!H95)</f>
        <v>1</v>
      </c>
      <c r="V57" s="717" t="str">
        <f>IF('Equipment Combat'!H149="Stowed","["&amp;IF('Equipment Combat'!H256&lt;0.1,"",IF('Equipment Combat'!H256&lt;1,INT(10*'Equipment Combat'!H256)&amp;"L",INT('Equipment Combat'!H256)&amp;"B"))&amp;"]",IF('Equipment Combat'!H312&lt;0.1,"",IF('Equipment Combat'!H312&lt;1,INT(10*'Equipment Combat'!H312)&amp;"L",INT('Equipment Combat'!H312)&amp;"B")))</f>
        <v>1L</v>
      </c>
      <c r="W57" s="1332" t="str">
        <f>IF('Equipment Combat'!H55="","",'Equipment Combat'!H55&amp;" ("&amp;'Equipment Combat'!H162&amp;")")</f>
        <v/>
      </c>
      <c r="X57" s="1333"/>
      <c r="Y57" s="1335"/>
      <c r="Z57" s="1333"/>
      <c r="AA57" s="716" t="str">
        <f>IF('Equipment Combat'!H108="","",'Equipment Combat'!H108)</f>
        <v/>
      </c>
      <c r="AB57" s="717" t="str">
        <f>IF('Equipment Combat'!H162="Stowed","["&amp;IF('Equipment Combat'!H269&lt;0.1,"",IF('Equipment Combat'!H269&lt;1,INT(10*'Equipment Combat'!H269)&amp;"L",INT('Equipment Combat'!H269)&amp;"B"))&amp;"]",IF('Equipment Combat'!H325&lt;0.1,"",IF('Equipment Combat'!H325&lt;1,INT(10*'Equipment Combat'!H325)&amp;"L",INT('Equipment Combat'!H325)&amp;"B")))</f>
        <v/>
      </c>
      <c r="AC57" s="637"/>
    </row>
    <row r="58" spans="1:29" s="627" customFormat="1" ht="19.5" customHeight="1" x14ac:dyDescent="0.25">
      <c r="A58" s="656"/>
      <c r="B58" s="1332" t="str">
        <f>IF('Equipment Combat'!H17="","",'Equipment Combat'!H17&amp;" ("&amp;'Equipment Combat'!H124&amp;")")</f>
        <v>Whip (1d4) (Worn)</v>
      </c>
      <c r="C58" s="1333"/>
      <c r="D58" s="1333"/>
      <c r="E58" s="1333"/>
      <c r="F58" s="1335"/>
      <c r="G58" s="716">
        <f>IF('Equipment Combat'!H70="","",'Equipment Combat'!H70)</f>
        <v>1</v>
      </c>
      <c r="H58" s="717" t="str">
        <f>IF('Equipment Combat'!H124="Stowed","["&amp;IF('Equipment Combat'!H231&lt;0.1,"",IF('Equipment Combat'!H231&lt;1,INT(10*'Equipment Combat'!H231)&amp;"L",INT('Equipment Combat'!H231)&amp;"B"))&amp;"]",IF('Equipment Combat'!H287&lt;0.1,"",IF('Equipment Combat'!H287&lt;1,INT(10*'Equipment Combat'!H287)&amp;"L",INT('Equipment Combat'!H287)&amp;"B")))</f>
        <v>1B</v>
      </c>
      <c r="I58" s="1332" t="str">
        <f>IF('Equipment Combat'!H30="","",'Equipment Combat'!H30&amp;" ("&amp;'Equipment Combat'!H137&amp;")")</f>
        <v>Feather Step Stone (Worn)</v>
      </c>
      <c r="J58" s="1333"/>
      <c r="K58" s="1333"/>
      <c r="L58" s="1335"/>
      <c r="M58" s="1333"/>
      <c r="N58" s="716">
        <f>IF('Equipment Combat'!H83="","",'Equipment Combat'!H83)</f>
        <v>1</v>
      </c>
      <c r="O58" s="717" t="str">
        <f>IF('Equipment Combat'!H137="Stowed","["&amp;IF('Equipment Combat'!H244&lt;0.1,"",IF('Equipment Combat'!H244&lt;1,INT(10*'Equipment Combat'!H244)&amp;"L",INT('Equipment Combat'!H244)&amp;"B"))&amp;"]",IF('Equipment Combat'!H300&lt;0.1,"",IF('Equipment Combat'!H300&lt;1,INT(10*'Equipment Combat'!H300)&amp;"L",INT('Equipment Combat'!H300)&amp;"B")))</f>
        <v/>
      </c>
      <c r="P58" s="1332" t="str">
        <f>IF('Equipment Combat'!H43="","",'Equipment Combat'!H43&amp;" ("&amp;'Equipment Combat'!H150&amp;")")</f>
        <v/>
      </c>
      <c r="Q58" s="1333"/>
      <c r="R58" s="1333"/>
      <c r="S58" s="1335"/>
      <c r="T58" s="1333"/>
      <c r="U58" s="716" t="str">
        <f>IF('Equipment Combat'!H96="","",'Equipment Combat'!H96)</f>
        <v/>
      </c>
      <c r="V58" s="717" t="str">
        <f>IF('Equipment Combat'!H150="Stowed","["&amp;IF('Equipment Combat'!H257&lt;0.1,"",IF('Equipment Combat'!H257&lt;1,INT(10*'Equipment Combat'!H257)&amp;"L",INT('Equipment Combat'!H257)&amp;"B"))&amp;"]",IF('Equipment Combat'!H313&lt;0.1,"",IF('Equipment Combat'!H313&lt;1,INT(10*'Equipment Combat'!H313)&amp;"L",INT('Equipment Combat'!H313)&amp;"B")))</f>
        <v/>
      </c>
      <c r="W58" s="1332" t="str">
        <f>IF('Equipment Combat'!H56="","",'Equipment Combat'!H56&amp;" ("&amp;'Equipment Combat'!H163&amp;")")</f>
        <v/>
      </c>
      <c r="X58" s="1333"/>
      <c r="Y58" s="1335"/>
      <c r="Z58" s="1333"/>
      <c r="AA58" s="716" t="str">
        <f>IF('Equipment Combat'!H109="","",'Equipment Combat'!H109)</f>
        <v/>
      </c>
      <c r="AB58" s="717" t="str">
        <f>IF('Equipment Combat'!H163="Stowed","["&amp;IF('Equipment Combat'!H270&lt;0.1,"",IF('Equipment Combat'!H270&lt;1,INT(10*'Equipment Combat'!H270)&amp;"L",INT('Equipment Combat'!H270)&amp;"B"))&amp;"]",IF('Equipment Combat'!H326&lt;0.1,"",IF('Equipment Combat'!H326&lt;1,INT(10*'Equipment Combat'!H326)&amp;"L",INT('Equipment Combat'!H326)&amp;"B")))</f>
        <v/>
      </c>
      <c r="AC58" s="637"/>
    </row>
    <row r="59" spans="1:29" s="627" customFormat="1" ht="19.5" customHeight="1" x14ac:dyDescent="0.25">
      <c r="A59" s="656"/>
      <c r="B59" s="1332" t="str">
        <f>IF('Equipment Combat'!H18="","",'Equipment Combat'!H18&amp;" ("&amp;'Equipment Combat'!H125&amp;")")</f>
        <v>Silver Longsword (1d8) (Held)</v>
      </c>
      <c r="C59" s="1333"/>
      <c r="D59" s="1333"/>
      <c r="E59" s="1333"/>
      <c r="F59" s="1335"/>
      <c r="G59" s="716">
        <f>IF('Equipment Combat'!H71="","",'Equipment Combat'!H71)</f>
        <v>1</v>
      </c>
      <c r="H59" s="717" t="str">
        <f>IF('Equipment Combat'!H125="Stowed","["&amp;IF('Equipment Combat'!H232&lt;0.1,"",IF('Equipment Combat'!H232&lt;1,INT(10*'Equipment Combat'!H232)&amp;"L",INT('Equipment Combat'!H232)&amp;"B"))&amp;"]",IF('Equipment Combat'!H288&lt;0.1,"",IF('Equipment Combat'!H288&lt;1,INT(10*'Equipment Combat'!H288)&amp;"L",INT('Equipment Combat'!H288)&amp;"B")))</f>
        <v>1B</v>
      </c>
      <c r="I59" s="1332" t="str">
        <f>IF('Equipment Combat'!H31="","",'Equipment Combat'!H31&amp;" ("&amp;'Equipment Combat'!H138&amp;")")</f>
        <v>Everburning Torch (Worn)</v>
      </c>
      <c r="J59" s="1333"/>
      <c r="K59" s="1333"/>
      <c r="L59" s="1335"/>
      <c r="M59" s="1333"/>
      <c r="N59" s="716">
        <f>IF('Equipment Combat'!H84="","",'Equipment Combat'!H84)</f>
        <v>1</v>
      </c>
      <c r="O59" s="717" t="str">
        <f>IF('Equipment Combat'!H138="Stowed","["&amp;IF('Equipment Combat'!H245&lt;0.1,"",IF('Equipment Combat'!H245&lt;1,INT(10*'Equipment Combat'!H245)&amp;"L",INT('Equipment Combat'!H245)&amp;"B"))&amp;"]",IF('Equipment Combat'!H301&lt;0.1,"",IF('Equipment Combat'!H301&lt;1,INT(10*'Equipment Combat'!H301)&amp;"L",INT('Equipment Combat'!H301)&amp;"B")))</f>
        <v>1L</v>
      </c>
      <c r="P59" s="1332" t="str">
        <f>IF('Equipment Combat'!H44="","",'Equipment Combat'!H44&amp;" ("&amp;'Equipment Combat'!H151&amp;")")</f>
        <v/>
      </c>
      <c r="Q59" s="1333"/>
      <c r="R59" s="1333"/>
      <c r="S59" s="1335"/>
      <c r="T59" s="1333"/>
      <c r="U59" s="716" t="str">
        <f>IF('Equipment Combat'!H97="","",'Equipment Combat'!H97)</f>
        <v/>
      </c>
      <c r="V59" s="717" t="str">
        <f>IF('Equipment Combat'!H151="Stowed","["&amp;IF('Equipment Combat'!H258&lt;0.1,"",IF('Equipment Combat'!H258&lt;1,INT(10*'Equipment Combat'!H258)&amp;"L",INT('Equipment Combat'!H258)&amp;"B"))&amp;"]",IF('Equipment Combat'!H314&lt;0.1,"",IF('Equipment Combat'!H314&lt;1,INT(10*'Equipment Combat'!H314)&amp;"L",INT('Equipment Combat'!H314)&amp;"B")))</f>
        <v/>
      </c>
      <c r="W59" s="1332" t="str">
        <f>IF('Equipment Combat'!H57="","",'Equipment Combat'!H57&amp;" ("&amp;'Equipment Combat'!H164&amp;")")</f>
        <v/>
      </c>
      <c r="X59" s="1333"/>
      <c r="Y59" s="1335"/>
      <c r="Z59" s="1333"/>
      <c r="AA59" s="716" t="str">
        <f>IF('Equipment Combat'!H110="","",'Equipment Combat'!H110)</f>
        <v/>
      </c>
      <c r="AB59" s="717" t="str">
        <f>IF('Equipment Combat'!H164="Stowed","["&amp;IF('Equipment Combat'!H271&lt;0.1,"",IF('Equipment Combat'!H271&lt;1,INT(10*'Equipment Combat'!H271)&amp;"L",INT('Equipment Combat'!H271)&amp;"B"))&amp;"]",IF('Equipment Combat'!H327&lt;0.1,"",IF('Equipment Combat'!H327&lt;1,INT(10*'Equipment Combat'!H327)&amp;"L",INT('Equipment Combat'!H327)&amp;"B")))</f>
        <v/>
      </c>
      <c r="AC59" s="637"/>
    </row>
    <row r="60" spans="1:29" s="627" customFormat="1" ht="19.5" customHeight="1" x14ac:dyDescent="0.25">
      <c r="A60" s="656"/>
      <c r="B60" s="1336" t="str">
        <f>IF('Equipment Combat'!H19="","",'Equipment Combat'!H19&amp;" ("&amp;'Equipment Combat'!H126&amp;")")</f>
        <v>Longbow (2H) (Worn)</v>
      </c>
      <c r="C60" s="1337"/>
      <c r="D60" s="1337"/>
      <c r="E60" s="1337"/>
      <c r="F60" s="1338"/>
      <c r="G60" s="915">
        <f>IF('Equipment Combat'!H72="","",'Equipment Combat'!H72)</f>
        <v>1</v>
      </c>
      <c r="H60" s="916" t="str">
        <f>IF('Equipment Combat'!H126="Stowed","["&amp;IF('Equipment Combat'!H233&lt;0.1,"",IF('Equipment Combat'!H233&lt;1,INT(10*'Equipment Combat'!H233)&amp;"L",INT('Equipment Combat'!H233)&amp;"B"))&amp;"]",IF('Equipment Combat'!H289&lt;0.1,"",IF('Equipment Combat'!H289&lt;1,INT(10*'Equipment Combat'!H289)&amp;"L",INT('Equipment Combat'!H289)&amp;"B")))</f>
        <v>2B</v>
      </c>
      <c r="I60" s="1336" t="str">
        <f>IF('Equipment Combat'!H32="","",'Equipment Combat'!H32&amp;" ("&amp;'Equipment Combat'!H139&amp;")")</f>
        <v>Lesser Healing Potion (Worn)</v>
      </c>
      <c r="J60" s="1337"/>
      <c r="K60" s="1337"/>
      <c r="L60" s="1338"/>
      <c r="M60" s="1337"/>
      <c r="N60" s="915">
        <f>IF('Equipment Combat'!H85="","",'Equipment Combat'!H85)</f>
        <v>1</v>
      </c>
      <c r="O60" s="916" t="str">
        <f>IF('Equipment Combat'!H139="Stowed","["&amp;IF('Equipment Combat'!H246&lt;0.1,"",IF('Equipment Combat'!H246&lt;1,INT(10*'Equipment Combat'!H246)&amp;"L",INT('Equipment Combat'!H246)&amp;"B"))&amp;"]",IF('Equipment Combat'!H302&lt;0.1,"",IF('Equipment Combat'!H302&lt;1,INT(10*'Equipment Combat'!H302)&amp;"L",INT('Equipment Combat'!H302)&amp;"B")))</f>
        <v>1L</v>
      </c>
      <c r="P60" s="1336" t="str">
        <f>IF('Equipment Combat'!H45="","",'Equipment Combat'!H45&amp;" ("&amp;'Equipment Combat'!H152&amp;")")</f>
        <v/>
      </c>
      <c r="Q60" s="1337"/>
      <c r="R60" s="1337"/>
      <c r="S60" s="1338"/>
      <c r="T60" s="1337"/>
      <c r="U60" s="915" t="str">
        <f>IF('Equipment Combat'!H98="","",'Equipment Combat'!H98)</f>
        <v/>
      </c>
      <c r="V60" s="916" t="str">
        <f>IF('Equipment Combat'!H152="Stowed","["&amp;IF('Equipment Combat'!H259&lt;0.1,"",IF('Equipment Combat'!H259&lt;1,INT(10*'Equipment Combat'!H259)&amp;"L",INT('Equipment Combat'!H259)&amp;"B"))&amp;"]",IF('Equipment Combat'!H315&lt;0.1,"",IF('Equipment Combat'!H315&lt;1,INT(10*'Equipment Combat'!H315)&amp;"L",INT('Equipment Combat'!H315)&amp;"B")))</f>
        <v/>
      </c>
      <c r="W60" s="1336" t="str">
        <f>IF('Equipment Combat'!H58="","",'Equipment Combat'!H58&amp;" ("&amp;'Equipment Combat'!H165&amp;")")</f>
        <v/>
      </c>
      <c r="X60" s="1337"/>
      <c r="Y60" s="1338"/>
      <c r="Z60" s="1337"/>
      <c r="AA60" s="915" t="str">
        <f>IF('Equipment Combat'!H111="","",'Equipment Combat'!H111)</f>
        <v/>
      </c>
      <c r="AB60" s="916" t="str">
        <f>IF('Equipment Combat'!H165="Stowed","["&amp;IF('Equipment Combat'!H272&lt;0.1,"",IF('Equipment Combat'!H272&lt;1,INT(10*'Equipment Combat'!H272)&amp;"L",INT('Equipment Combat'!H272)&amp;"B"))&amp;"]",IF('Equipment Combat'!H328&lt;0.1,"",IF('Equipment Combat'!H328&lt;1,INT(10*'Equipment Combat'!H328)&amp;"L",INT('Equipment Combat'!H328)&amp;"B")))</f>
        <v/>
      </c>
      <c r="AC60" s="637"/>
    </row>
    <row r="61" spans="1:29" s="627" customFormat="1"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949"/>
      <c r="T61" s="949"/>
      <c r="U61" s="949"/>
      <c r="W61" s="949"/>
      <c r="X61" s="949"/>
      <c r="Y61" s="949"/>
      <c r="Z61" s="949"/>
      <c r="AA61" s="949"/>
      <c r="AB61" s="949"/>
      <c r="AC61" s="637"/>
    </row>
    <row r="62" spans="1:29" s="627" customFormat="1" ht="19.5" customHeight="1" x14ac:dyDescent="0.3">
      <c r="A62" s="656"/>
      <c r="B62" s="718">
        <f>'Equipment Combat'!H3</f>
        <v>0</v>
      </c>
      <c r="C62" s="719">
        <f>'Equipment Combat'!H4</f>
        <v>17</v>
      </c>
      <c r="D62" s="719">
        <f>'Equipment Combat'!H5</f>
        <v>77</v>
      </c>
      <c r="E62" s="720">
        <f>'Equipment Combat'!H6</f>
        <v>1</v>
      </c>
      <c r="F62" s="948"/>
      <c r="G62" s="772">
        <f>'Equipment Combat'!H329</f>
        <v>9</v>
      </c>
      <c r="H62" s="454"/>
      <c r="I62" s="451">
        <f>5+K62</f>
        <v>11</v>
      </c>
      <c r="J62" s="453" t="s">
        <v>512</v>
      </c>
      <c r="K62" s="452">
        <f>'Equipment Combat'!H331</f>
        <v>6</v>
      </c>
      <c r="L62" s="454"/>
      <c r="M62" s="451">
        <f>10+O62</f>
        <v>16</v>
      </c>
      <c r="N62" s="453" t="s">
        <v>513</v>
      </c>
      <c r="O62" s="452">
        <f>K62</f>
        <v>6</v>
      </c>
      <c r="P62" s="454"/>
      <c r="Q62" s="644" t="s">
        <v>505</v>
      </c>
      <c r="R62" s="1544" t="str">
        <f>'Equipment Combat'!H333</f>
        <v>Fine</v>
      </c>
      <c r="S62" s="1545"/>
      <c r="T62" s="1545"/>
      <c r="U62" s="1545"/>
      <c r="V62" s="1545"/>
      <c r="W62" s="1546"/>
      <c r="X62" s="1544" t="str">
        <f>'Equipment Combat'!H274</f>
        <v>Backpack OK</v>
      </c>
      <c r="Y62" s="1545"/>
      <c r="Z62" s="1545"/>
      <c r="AA62" s="1545"/>
      <c r="AB62" s="1546"/>
      <c r="AC62" s="637"/>
    </row>
    <row r="63" spans="1:29" ht="19.5" customHeight="1" x14ac:dyDescent="0.3">
      <c r="A63" s="658"/>
      <c r="B63" s="657" t="s">
        <v>27</v>
      </c>
      <c r="C63" s="628"/>
      <c r="D63" s="628"/>
      <c r="E63" s="628"/>
      <c r="F63" s="640"/>
      <c r="G63" s="628"/>
      <c r="H63" s="645"/>
      <c r="I63" s="628"/>
      <c r="J63" s="659"/>
      <c r="K63" s="628"/>
      <c r="L63" s="645"/>
      <c r="M63" s="628"/>
      <c r="N63" s="659"/>
      <c r="O63" s="628"/>
      <c r="P63" s="645"/>
      <c r="Q63" s="644"/>
      <c r="R63" s="645"/>
      <c r="S63" s="644"/>
      <c r="T63" s="490"/>
      <c r="U63" s="490"/>
      <c r="V63" s="490"/>
      <c r="W63" s="490"/>
      <c r="X63" s="490"/>
      <c r="Y63" s="490"/>
      <c r="Z63" s="490"/>
      <c r="AA63" s="490"/>
      <c r="AB63" s="490"/>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IF(Feats!H5="","",Feats!H5)</f>
        <v>Natural Ambition = Power Attack</v>
      </c>
      <c r="C65" s="1411"/>
      <c r="D65" s="1411"/>
      <c r="E65" s="1411"/>
      <c r="F65" s="1411"/>
      <c r="G65" s="1411"/>
      <c r="H65" s="1411"/>
      <c r="I65" s="1411"/>
      <c r="J65" s="1411" t="str">
        <f>IF(Feats!H5="","",Feats!M5)</f>
        <v>Ancestry feat</v>
      </c>
      <c r="K65" s="1411"/>
      <c r="L65" s="1411"/>
      <c r="M65" s="1411"/>
      <c r="N65" s="1412">
        <f>IF(Feats!H5="","",Feats!L5)</f>
        <v>1</v>
      </c>
      <c r="O65" s="1413"/>
      <c r="P65" s="1410" t="str">
        <f>IF(Feats!H29="","",Feats!H29)</f>
        <v>Swipe</v>
      </c>
      <c r="Q65" s="1411"/>
      <c r="R65" s="1411"/>
      <c r="S65" s="1411"/>
      <c r="T65" s="1411"/>
      <c r="U65" s="1411"/>
      <c r="V65" s="1411"/>
      <c r="W65" s="1411"/>
      <c r="X65" s="1411" t="str">
        <f>IF(Feats!H29="","",Feats!M29)</f>
        <v>Class feat</v>
      </c>
      <c r="Y65" s="1411"/>
      <c r="Z65" s="1411"/>
      <c r="AA65" s="1411"/>
      <c r="AB65" s="1412">
        <f>IF(Feats!H29="","",Feats!L29)</f>
        <v>4</v>
      </c>
      <c r="AC65" s="637"/>
    </row>
    <row r="66" spans="1:29" ht="19.5" customHeight="1" x14ac:dyDescent="0.25">
      <c r="A66" s="656"/>
      <c r="B66" s="1414" t="str">
        <f>IF(Feats!H6="","",Feats!H6)</f>
        <v>Normal Vision</v>
      </c>
      <c r="C66" s="1415"/>
      <c r="D66" s="1415"/>
      <c r="E66" s="1415"/>
      <c r="F66" s="1415"/>
      <c r="G66" s="1415"/>
      <c r="H66" s="1415"/>
      <c r="I66" s="1415"/>
      <c r="J66" s="1415" t="str">
        <f>IF(Feats!H6="","",Feats!M6)</f>
        <v>Ancestry vision</v>
      </c>
      <c r="K66" s="1415"/>
      <c r="L66" s="1415"/>
      <c r="M66" s="1415"/>
      <c r="N66" s="1416">
        <f>IF(Feats!H6="","",Feats!L6)</f>
        <v>1</v>
      </c>
      <c r="O66" s="1413"/>
      <c r="P66" s="1414" t="str">
        <f>IF(Feats!H30="","",Feats!H30)</f>
        <v/>
      </c>
      <c r="Q66" s="1415"/>
      <c r="R66" s="1415"/>
      <c r="S66" s="1415"/>
      <c r="T66" s="1415"/>
      <c r="U66" s="1415"/>
      <c r="V66" s="1415"/>
      <c r="W66" s="1415"/>
      <c r="X66" s="1415" t="str">
        <f>IF(Feats!H30="","",Feats!M30)</f>
        <v/>
      </c>
      <c r="Y66" s="1415"/>
      <c r="Z66" s="1415"/>
      <c r="AA66" s="1415"/>
      <c r="AB66" s="1416" t="str">
        <f>IF(Feats!H30="","",Feats!L30)</f>
        <v/>
      </c>
      <c r="AC66" s="637"/>
    </row>
    <row r="67" spans="1:29" ht="19.5" customHeight="1" x14ac:dyDescent="0.25">
      <c r="A67" s="656"/>
      <c r="B67" s="1414" t="str">
        <f>IF(Feats!H7="","",Feats!H7)</f>
        <v>Intimidating Glare</v>
      </c>
      <c r="C67" s="1415"/>
      <c r="D67" s="1415"/>
      <c r="E67" s="1415"/>
      <c r="F67" s="1415"/>
      <c r="G67" s="1415"/>
      <c r="H67" s="1415"/>
      <c r="I67" s="1415"/>
      <c r="J67" s="1415" t="str">
        <f>IF(Feats!H7="","",Feats!M7)</f>
        <v>Background Skill feat</v>
      </c>
      <c r="K67" s="1415"/>
      <c r="L67" s="1415"/>
      <c r="M67" s="1415"/>
      <c r="N67" s="1416">
        <f>IF(Feats!H7="","",Feats!L7)</f>
        <v>1</v>
      </c>
      <c r="O67" s="1413"/>
      <c r="P67" s="1414" t="str">
        <f>IF(Feats!H31="","",Feats!H31)</f>
        <v>Fighter weapon mastery (Sword)</v>
      </c>
      <c r="Q67" s="1415"/>
      <c r="R67" s="1415"/>
      <c r="S67" s="1415"/>
      <c r="T67" s="1415"/>
      <c r="U67" s="1415"/>
      <c r="V67" s="1415"/>
      <c r="W67" s="1415"/>
      <c r="X67" s="1415" t="str">
        <f>IF(Feats!H31="","",Feats!M31)</f>
        <v>Class ability</v>
      </c>
      <c r="Y67" s="1415"/>
      <c r="Z67" s="1415"/>
      <c r="AA67" s="1415"/>
      <c r="AB67" s="1416">
        <f>IF(Feats!H31="","",Feats!L31)</f>
        <v>5</v>
      </c>
      <c r="AC67" s="637"/>
    </row>
    <row r="68" spans="1:29" ht="19.5" hidden="1" customHeight="1" outlineLevel="1" x14ac:dyDescent="0.25">
      <c r="A68" s="656"/>
      <c r="B68" s="1414" t="str">
        <f>IF(Feats!H8="","",Feats!H8)</f>
        <v/>
      </c>
      <c r="C68" s="1415"/>
      <c r="D68" s="1415"/>
      <c r="E68" s="1415"/>
      <c r="F68" s="1415"/>
      <c r="G68" s="1415"/>
      <c r="H68" s="1415"/>
      <c r="I68" s="1415"/>
      <c r="J68" s="1415" t="str">
        <f>IF(Feats!H8="","",Feats!M8)</f>
        <v/>
      </c>
      <c r="K68" s="1415"/>
      <c r="L68" s="1415"/>
      <c r="M68" s="1415"/>
      <c r="N68" s="1416" t="str">
        <f>IF(Feats!H8="","",Feats!L8)</f>
        <v/>
      </c>
      <c r="O68" s="1413"/>
      <c r="P68" s="1414" t="str">
        <f>IF(Feats!H32="","",Feats!H32)</f>
        <v/>
      </c>
      <c r="Q68" s="1415"/>
      <c r="R68" s="1415"/>
      <c r="S68" s="1415"/>
      <c r="T68" s="1415"/>
      <c r="U68" s="1415"/>
      <c r="V68" s="1415"/>
      <c r="W68" s="1415"/>
      <c r="X68" s="1415" t="str">
        <f>IF(Feats!H32="","",Feats!M32)</f>
        <v/>
      </c>
      <c r="Y68" s="1415"/>
      <c r="Z68" s="1415"/>
      <c r="AA68" s="1415"/>
      <c r="AB68" s="1416" t="str">
        <f>IF(Feats!H32="","",Feats!L32)</f>
        <v/>
      </c>
      <c r="AC68" s="637"/>
    </row>
    <row r="69" spans="1:29" ht="19.5" customHeight="1" collapsed="1" x14ac:dyDescent="0.25">
      <c r="A69" s="656"/>
      <c r="B69" s="1414" t="str">
        <f>IF(Feats!H9="","",Feats!H9)</f>
        <v/>
      </c>
      <c r="C69" s="1415"/>
      <c r="D69" s="1415"/>
      <c r="E69" s="1415"/>
      <c r="F69" s="1415"/>
      <c r="G69" s="1415"/>
      <c r="H69" s="1415"/>
      <c r="I69" s="1415"/>
      <c r="J69" s="1415" t="str">
        <f>IF(Feats!H9="","",Feats!M9)</f>
        <v/>
      </c>
      <c r="K69" s="1415"/>
      <c r="L69" s="1415"/>
      <c r="M69" s="1415"/>
      <c r="N69" s="1416" t="str">
        <f>IF(Feats!H9="","",Feats!L9)</f>
        <v/>
      </c>
      <c r="O69" s="1413"/>
      <c r="P69" s="1414" t="str">
        <f>IF(Feats!H33="","",Feats!H33)</f>
        <v>General Training = Feather Step</v>
      </c>
      <c r="Q69" s="1415"/>
      <c r="R69" s="1415"/>
      <c r="S69" s="1415"/>
      <c r="T69" s="1415"/>
      <c r="U69" s="1415"/>
      <c r="V69" s="1415"/>
      <c r="W69" s="1415"/>
      <c r="X69" s="1415" t="str">
        <f>IF(Feats!H33="","",Feats!M33)</f>
        <v>Ancestry feat</v>
      </c>
      <c r="Y69" s="1415"/>
      <c r="Z69" s="1415"/>
      <c r="AA69" s="1415"/>
      <c r="AB69" s="1416">
        <f>IF(Feats!H33="","",Feats!L33)</f>
        <v>5</v>
      </c>
      <c r="AC69" s="637"/>
    </row>
    <row r="70" spans="1:29" ht="19.5" customHeight="1" x14ac:dyDescent="0.25">
      <c r="A70" s="656"/>
      <c r="B70" s="1414" t="str">
        <f>IF(Feats!H10="","",Feats!H10)</f>
        <v>Attack of opportunity</v>
      </c>
      <c r="C70" s="1415"/>
      <c r="D70" s="1415"/>
      <c r="E70" s="1415"/>
      <c r="F70" s="1415"/>
      <c r="G70" s="1415"/>
      <c r="H70" s="1415"/>
      <c r="I70" s="1415"/>
      <c r="J70" s="1415" t="str">
        <f>IF(Feats!H10="","",Feats!M10)</f>
        <v>Class ability</v>
      </c>
      <c r="K70" s="1415"/>
      <c r="L70" s="1415"/>
      <c r="M70" s="1415"/>
      <c r="N70" s="1416">
        <f>IF(Feats!H10="","",Feats!L10)</f>
        <v>1</v>
      </c>
      <c r="O70" s="1413"/>
      <c r="P70" s="1414" t="str">
        <f>IF(Feats!H34="","",Feats!H34)</f>
        <v>Expert in Acrobatics</v>
      </c>
      <c r="Q70" s="1415"/>
      <c r="R70" s="1415"/>
      <c r="S70" s="1415"/>
      <c r="T70" s="1415"/>
      <c r="U70" s="1415"/>
      <c r="V70" s="1415"/>
      <c r="W70" s="1415"/>
      <c r="X70" s="1415" t="str">
        <f>IF(Feats!H34="","",Feats!M34)</f>
        <v>Skill increase</v>
      </c>
      <c r="Y70" s="1415"/>
      <c r="Z70" s="1415"/>
      <c r="AA70" s="1415"/>
      <c r="AB70" s="1416">
        <f>IF(Feats!H34="","",Feats!L34)</f>
        <v>5</v>
      </c>
      <c r="AC70" s="637"/>
    </row>
    <row r="71" spans="1:29" ht="19.5" customHeight="1" x14ac:dyDescent="0.25">
      <c r="A71" s="656"/>
      <c r="B71" s="1414" t="str">
        <f>IF(Feats!H11="","",Feats!H11)</f>
        <v>Shield Block</v>
      </c>
      <c r="C71" s="1415"/>
      <c r="D71" s="1415"/>
      <c r="E71" s="1415"/>
      <c r="F71" s="1415"/>
      <c r="G71" s="1415"/>
      <c r="H71" s="1415"/>
      <c r="I71" s="1415"/>
      <c r="J71" s="1415" t="str">
        <f>IF(Feats!H11="","",Feats!M11)</f>
        <v>Class ability</v>
      </c>
      <c r="K71" s="1415"/>
      <c r="L71" s="1415"/>
      <c r="M71" s="1415"/>
      <c r="N71" s="1416">
        <f>IF(Feats!H11="","",Feats!L11)</f>
        <v>1</v>
      </c>
      <c r="O71" s="1413"/>
      <c r="P71" s="1414" t="str">
        <f>IF(Feats!H35="","",Feats!H35)</f>
        <v/>
      </c>
      <c r="Q71" s="1415"/>
      <c r="R71" s="1415"/>
      <c r="S71" s="1415"/>
      <c r="T71" s="1415"/>
      <c r="U71" s="1415"/>
      <c r="V71" s="1415"/>
      <c r="W71" s="1415"/>
      <c r="X71" s="1415" t="str">
        <f>IF(Feats!H35="","",Feats!M35)</f>
        <v/>
      </c>
      <c r="Y71" s="1415"/>
      <c r="Z71" s="1415"/>
      <c r="AA71" s="1415"/>
      <c r="AB71" s="1416" t="str">
        <f>IF(Feats!H35="","",Feats!L35)</f>
        <v/>
      </c>
      <c r="AC71" s="637"/>
    </row>
    <row r="72" spans="1:29" ht="19.5" hidden="1" customHeight="1" outlineLevel="1" x14ac:dyDescent="0.25">
      <c r="A72" s="656"/>
      <c r="B72" s="1414" t="str">
        <f>IF(Feats!H12="","",Feats!H12)</f>
        <v/>
      </c>
      <c r="C72" s="1415"/>
      <c r="D72" s="1415"/>
      <c r="E72" s="1415"/>
      <c r="F72" s="1415"/>
      <c r="G72" s="1415"/>
      <c r="H72" s="1415"/>
      <c r="I72" s="1415"/>
      <c r="J72" s="1415" t="str">
        <f>IF(Feats!H12="","",Feats!M12)</f>
        <v/>
      </c>
      <c r="K72" s="1415"/>
      <c r="L72" s="1415"/>
      <c r="M72" s="1415"/>
      <c r="N72" s="1416" t="str">
        <f>IF(Feats!H12="","",Feats!L12)</f>
        <v/>
      </c>
      <c r="O72" s="1413"/>
      <c r="P72" s="1414" t="str">
        <f>IF(Feats!H36="","",Feats!H36)</f>
        <v/>
      </c>
      <c r="Q72" s="1415"/>
      <c r="R72" s="1415"/>
      <c r="S72" s="1415"/>
      <c r="T72" s="1415"/>
      <c r="U72" s="1415"/>
      <c r="V72" s="1415"/>
      <c r="W72" s="1415"/>
      <c r="X72" s="1415" t="str">
        <f>IF(Feats!H36="","",Feats!M36)</f>
        <v/>
      </c>
      <c r="Y72" s="1415"/>
      <c r="Z72" s="1415"/>
      <c r="AA72" s="1415"/>
      <c r="AB72" s="1416" t="str">
        <f>IF(Feats!H36="","",Feats!L36)</f>
        <v/>
      </c>
      <c r="AC72" s="637"/>
    </row>
    <row r="73" spans="1:29" ht="19.5" hidden="1" customHeight="1" outlineLevel="1" x14ac:dyDescent="0.25">
      <c r="A73" s="656"/>
      <c r="B73" s="1414" t="str">
        <f>IF(Feats!H13="","",Feats!H13)</f>
        <v/>
      </c>
      <c r="C73" s="1415"/>
      <c r="D73" s="1415"/>
      <c r="E73" s="1415"/>
      <c r="F73" s="1415"/>
      <c r="G73" s="1415"/>
      <c r="H73" s="1415"/>
      <c r="I73" s="1415"/>
      <c r="J73" s="1415" t="str">
        <f>IF(Feats!H13="","",Feats!M13)</f>
        <v/>
      </c>
      <c r="K73" s="1415"/>
      <c r="L73" s="1415"/>
      <c r="M73" s="1415"/>
      <c r="N73" s="1416" t="str">
        <f>IF(Feats!H13="","",Feats!L13)</f>
        <v/>
      </c>
      <c r="O73" s="1413"/>
      <c r="P73" s="1414" t="str">
        <f>IF(Feats!H37="","",Feats!H37)</f>
        <v/>
      </c>
      <c r="Q73" s="1415"/>
      <c r="R73" s="1415"/>
      <c r="S73" s="1415"/>
      <c r="T73" s="1415"/>
      <c r="U73" s="1415"/>
      <c r="V73" s="1415"/>
      <c r="W73" s="1415"/>
      <c r="X73" s="1415" t="str">
        <f>IF(Feats!H37="","",Feats!M37)</f>
        <v/>
      </c>
      <c r="Y73" s="1415"/>
      <c r="Z73" s="1415"/>
      <c r="AA73" s="1415"/>
      <c r="AB73" s="1416" t="str">
        <f>IF(Feats!H37="","",Feats!L37)</f>
        <v/>
      </c>
      <c r="AC73" s="637"/>
    </row>
    <row r="74" spans="1:29" ht="19.5" hidden="1" customHeight="1" outlineLevel="1" x14ac:dyDescent="0.25">
      <c r="A74" s="656"/>
      <c r="B74" s="1414" t="str">
        <f>IF(Feats!H14="","",Feats!H14)</f>
        <v/>
      </c>
      <c r="C74" s="1415"/>
      <c r="D74" s="1415"/>
      <c r="E74" s="1415"/>
      <c r="F74" s="1415"/>
      <c r="G74" s="1415"/>
      <c r="H74" s="1415"/>
      <c r="I74" s="1415"/>
      <c r="J74" s="1415" t="str">
        <f>IF(Feats!H14="","",Feats!M14)</f>
        <v/>
      </c>
      <c r="K74" s="1415"/>
      <c r="L74" s="1415"/>
      <c r="M74" s="1415"/>
      <c r="N74" s="1416" t="str">
        <f>IF(Feats!H14="","",Feats!L14)</f>
        <v/>
      </c>
      <c r="O74" s="1413"/>
      <c r="P74" s="1414" t="str">
        <f>IF(Feats!H38="","",Feats!H38)</f>
        <v/>
      </c>
      <c r="Q74" s="1415"/>
      <c r="R74" s="1415"/>
      <c r="S74" s="1415"/>
      <c r="T74" s="1415"/>
      <c r="U74" s="1415"/>
      <c r="V74" s="1415"/>
      <c r="W74" s="1415"/>
      <c r="X74" s="1415" t="str">
        <f>IF(Feats!H38="","",Feats!M38)</f>
        <v/>
      </c>
      <c r="Y74" s="1415"/>
      <c r="Z74" s="1415"/>
      <c r="AA74" s="1415"/>
      <c r="AB74" s="1416" t="str">
        <f>IF(Feats!H38="","",Feats!L38)</f>
        <v/>
      </c>
      <c r="AC74" s="637"/>
    </row>
    <row r="75" spans="1:29" ht="19.5" customHeight="1" collapsed="1" x14ac:dyDescent="0.25">
      <c r="A75" s="656"/>
      <c r="B75" s="1414" t="str">
        <f>IF(Feats!H15="","",Feats!H15)</f>
        <v>Versatile = Cat Fall (T Acrobatics)</v>
      </c>
      <c r="C75" s="1415"/>
      <c r="D75" s="1415"/>
      <c r="E75" s="1415"/>
      <c r="F75" s="1415"/>
      <c r="G75" s="1415"/>
      <c r="H75" s="1415"/>
      <c r="I75" s="1415"/>
      <c r="J75" s="1415" t="str">
        <f>IF(Feats!H15="","",Feats!M15)</f>
        <v>Starting feat</v>
      </c>
      <c r="K75" s="1415"/>
      <c r="L75" s="1415"/>
      <c r="M75" s="1415"/>
      <c r="N75" s="1416">
        <f>IF(Feats!H15="","",Feats!L15)</f>
        <v>1</v>
      </c>
      <c r="O75" s="1413"/>
      <c r="P75" s="1414" t="str">
        <f>IF(Feats!H39="","",Feats!H39)</f>
        <v/>
      </c>
      <c r="Q75" s="1415"/>
      <c r="R75" s="1415"/>
      <c r="S75" s="1415"/>
      <c r="T75" s="1415"/>
      <c r="U75" s="1415"/>
      <c r="V75" s="1415"/>
      <c r="W75" s="1415"/>
      <c r="X75" s="1415" t="str">
        <f>IF(Feats!H39="","",Feats!M39)</f>
        <v/>
      </c>
      <c r="Y75" s="1415"/>
      <c r="Z75" s="1415"/>
      <c r="AA75" s="1415"/>
      <c r="AB75" s="1416" t="str">
        <f>IF(Feats!H39="","",Feats!L39)</f>
        <v/>
      </c>
      <c r="AC75" s="637"/>
    </row>
    <row r="76" spans="1:29" ht="19.5" customHeight="1" x14ac:dyDescent="0.25">
      <c r="A76" s="656"/>
      <c r="B76" s="1414" t="str">
        <f>IF(Feats!H16="","",Feats!H16)</f>
        <v>Reactive Shield</v>
      </c>
      <c r="C76" s="1415"/>
      <c r="D76" s="1415"/>
      <c r="E76" s="1415"/>
      <c r="F76" s="1415"/>
      <c r="G76" s="1415"/>
      <c r="H76" s="1415"/>
      <c r="I76" s="1415"/>
      <c r="J76" s="1415" t="str">
        <f>IF(Feats!H16="","",Feats!M16)</f>
        <v>Class feat</v>
      </c>
      <c r="K76" s="1415"/>
      <c r="L76" s="1415"/>
      <c r="M76" s="1415"/>
      <c r="N76" s="1416">
        <f>IF(Feats!H16="","",Feats!L16)</f>
        <v>1</v>
      </c>
      <c r="O76" s="1413"/>
      <c r="P76" s="1414" t="str">
        <f>IF(Feats!H40="","",Feats!H40)</f>
        <v/>
      </c>
      <c r="Q76" s="1415"/>
      <c r="R76" s="1415"/>
      <c r="S76" s="1415"/>
      <c r="T76" s="1415"/>
      <c r="U76" s="1415"/>
      <c r="V76" s="1415"/>
      <c r="W76" s="1415"/>
      <c r="X76" s="1415" t="str">
        <f>IF(Feats!H40="","",Feats!M40)</f>
        <v/>
      </c>
      <c r="Y76" s="1415"/>
      <c r="Z76" s="1415"/>
      <c r="AA76" s="1415"/>
      <c r="AB76" s="1416" t="str">
        <f>IF(Feats!H40="","",Feats!L40)</f>
        <v/>
      </c>
      <c r="AC76" s="637"/>
    </row>
    <row r="77" spans="1:29" ht="19.5" hidden="1" customHeight="1" outlineLevel="1" x14ac:dyDescent="0.25">
      <c r="A77" s="656"/>
      <c r="B77" s="1414" t="str">
        <f>IF(Feats!H17="","",Feats!H17)</f>
        <v/>
      </c>
      <c r="C77" s="1415"/>
      <c r="D77" s="1415"/>
      <c r="E77" s="1415"/>
      <c r="F77" s="1415"/>
      <c r="G77" s="1415"/>
      <c r="H77" s="1415"/>
      <c r="I77" s="1415"/>
      <c r="J77" s="1415" t="str">
        <f>IF(Feats!H17="","",Feats!M17)</f>
        <v/>
      </c>
      <c r="K77" s="1415"/>
      <c r="L77" s="1415"/>
      <c r="M77" s="1415"/>
      <c r="N77" s="1416" t="str">
        <f>IF(Feats!H17="","",Feats!L17)</f>
        <v/>
      </c>
      <c r="O77" s="1413"/>
      <c r="P77" s="1414" t="str">
        <f>IF(Feats!H41="","",Feats!H41)</f>
        <v/>
      </c>
      <c r="Q77" s="1415"/>
      <c r="R77" s="1415"/>
      <c r="S77" s="1415"/>
      <c r="T77" s="1415"/>
      <c r="U77" s="1415"/>
      <c r="V77" s="1415"/>
      <c r="W77" s="1415"/>
      <c r="X77" s="1415" t="str">
        <f>IF(Feats!H41="","",Feats!M41)</f>
        <v/>
      </c>
      <c r="Y77" s="1415"/>
      <c r="Z77" s="1415"/>
      <c r="AA77" s="1415"/>
      <c r="AB77" s="1416" t="str">
        <f>IF(Feats!H41="","",Feats!L41)</f>
        <v/>
      </c>
      <c r="AC77" s="637"/>
    </row>
    <row r="78" spans="1:29" ht="19.5" customHeight="1" collapsed="1" x14ac:dyDescent="0.25">
      <c r="A78" s="656"/>
      <c r="B78" s="1414" t="str">
        <f>IF(Feats!H18="","",Feats!H18)</f>
        <v>Hefty Hauler (T Athlectics)</v>
      </c>
      <c r="C78" s="1415"/>
      <c r="D78" s="1415"/>
      <c r="E78" s="1415"/>
      <c r="F78" s="1415"/>
      <c r="G78" s="1415"/>
      <c r="H78" s="1415"/>
      <c r="I78" s="1415"/>
      <c r="J78" s="1415" t="str">
        <f>IF(Feats!H18="","",Feats!M18)</f>
        <v>Skill feat</v>
      </c>
      <c r="K78" s="1415"/>
      <c r="L78" s="1415"/>
      <c r="M78" s="1415"/>
      <c r="N78" s="1416">
        <f>IF(Feats!H18="","",Feats!L18)</f>
        <v>2</v>
      </c>
      <c r="O78" s="1413"/>
      <c r="P78" s="1414" t="str">
        <f>IF(Feats!H42="","",Feats!H42)</f>
        <v/>
      </c>
      <c r="Q78" s="1415"/>
      <c r="R78" s="1415"/>
      <c r="S78" s="1415"/>
      <c r="T78" s="1415"/>
      <c r="U78" s="1415"/>
      <c r="V78" s="1415"/>
      <c r="W78" s="1415"/>
      <c r="X78" s="1415" t="str">
        <f>IF(Feats!H42="","",Feats!M42)</f>
        <v/>
      </c>
      <c r="Y78" s="1415"/>
      <c r="Z78" s="1415"/>
      <c r="AA78" s="1415"/>
      <c r="AB78" s="1416" t="str">
        <f>IF(Feats!H42="","",Feats!L42)</f>
        <v/>
      </c>
      <c r="AC78" s="637"/>
    </row>
    <row r="79" spans="1:29" ht="19.5" customHeight="1" x14ac:dyDescent="0.25">
      <c r="A79" s="656"/>
      <c r="B79" s="1414" t="str">
        <f>IF(Feats!H19="","",Feats!H19)</f>
        <v>Lunge</v>
      </c>
      <c r="C79" s="1415"/>
      <c r="D79" s="1415"/>
      <c r="E79" s="1415"/>
      <c r="F79" s="1415"/>
      <c r="G79" s="1415"/>
      <c r="H79" s="1415"/>
      <c r="I79" s="1415"/>
      <c r="J79" s="1415" t="str">
        <f>IF(Feats!H19="","",Feats!M19)</f>
        <v>Class feat</v>
      </c>
      <c r="K79" s="1415"/>
      <c r="L79" s="1415"/>
      <c r="M79" s="1415"/>
      <c r="N79" s="1416">
        <f>IF(Feats!H19="","",Feats!L19)</f>
        <v>2</v>
      </c>
      <c r="O79" s="1413"/>
      <c r="P79" s="1414" t="str">
        <f>IF(Feats!H43="","",Feats!H43)</f>
        <v/>
      </c>
      <c r="Q79" s="1415"/>
      <c r="R79" s="1415"/>
      <c r="S79" s="1415"/>
      <c r="T79" s="1415"/>
      <c r="U79" s="1415"/>
      <c r="V79" s="1415"/>
      <c r="W79" s="1415"/>
      <c r="X79" s="1415" t="str">
        <f>IF(Feats!H43="","",Feats!M43)</f>
        <v/>
      </c>
      <c r="Y79" s="1415"/>
      <c r="Z79" s="1415"/>
      <c r="AA79" s="1415"/>
      <c r="AB79" s="1416" t="str">
        <f>IF(Feats!H43="","",Feats!L43)</f>
        <v/>
      </c>
      <c r="AC79" s="637"/>
    </row>
    <row r="80" spans="1:29" ht="19.5" hidden="1" customHeight="1" outlineLevel="1" x14ac:dyDescent="0.25">
      <c r="A80" s="656"/>
      <c r="B80" s="1414" t="str">
        <f>IF(Feats!H20="","",Feats!H20)</f>
        <v/>
      </c>
      <c r="C80" s="1415"/>
      <c r="D80" s="1415"/>
      <c r="E80" s="1415"/>
      <c r="F80" s="1415"/>
      <c r="G80" s="1415"/>
      <c r="H80" s="1415"/>
      <c r="I80" s="1415"/>
      <c r="J80" s="1415" t="str">
        <f>IF(Feats!H20="","",Feats!M20)</f>
        <v/>
      </c>
      <c r="K80" s="1415"/>
      <c r="L80" s="1415"/>
      <c r="M80" s="1415"/>
      <c r="N80" s="1416" t="str">
        <f>IF(Feats!H20="","",Feats!L20)</f>
        <v/>
      </c>
      <c r="O80" s="1413"/>
      <c r="P80" s="1414" t="str">
        <f>IF(Feats!H44="","",Feats!H44)</f>
        <v/>
      </c>
      <c r="Q80" s="1415"/>
      <c r="R80" s="1415"/>
      <c r="S80" s="1415"/>
      <c r="T80" s="1415"/>
      <c r="U80" s="1415"/>
      <c r="V80" s="1415"/>
      <c r="W80" s="1415"/>
      <c r="X80" s="1415" t="str">
        <f>IF(Feats!H44="","",Feats!M44)</f>
        <v/>
      </c>
      <c r="Y80" s="1415"/>
      <c r="Z80" s="1415"/>
      <c r="AA80" s="1415"/>
      <c r="AB80" s="1416" t="str">
        <f>IF(Feats!H44="","",Feats!L44)</f>
        <v/>
      </c>
      <c r="AC80" s="637"/>
    </row>
    <row r="81" spans="1:29" ht="19.5" hidden="1" customHeight="1" outlineLevel="1" x14ac:dyDescent="0.25">
      <c r="A81" s="656"/>
      <c r="B81" s="1414" t="str">
        <f>IF(Feats!H21="","",Feats!H21)</f>
        <v/>
      </c>
      <c r="C81" s="1415"/>
      <c r="D81" s="1415"/>
      <c r="E81" s="1415"/>
      <c r="F81" s="1415"/>
      <c r="G81" s="1415"/>
      <c r="H81" s="1415"/>
      <c r="I81" s="1415"/>
      <c r="J81" s="1415" t="str">
        <f>IF(Feats!H21="","",Feats!M21)</f>
        <v/>
      </c>
      <c r="K81" s="1415"/>
      <c r="L81" s="1415"/>
      <c r="M81" s="1415"/>
      <c r="N81" s="1416" t="str">
        <f>IF(Feats!H21="","",Feats!L21)</f>
        <v/>
      </c>
      <c r="O81" s="1413"/>
      <c r="P81" s="1414" t="str">
        <f>IF(Feats!H45="","",Feats!H45)</f>
        <v/>
      </c>
      <c r="Q81" s="1415"/>
      <c r="R81" s="1415"/>
      <c r="S81" s="1415"/>
      <c r="T81" s="1415"/>
      <c r="U81" s="1415"/>
      <c r="V81" s="1415"/>
      <c r="W81" s="1415"/>
      <c r="X81" s="1415" t="str">
        <f>IF(Feats!H45="","",Feats!M45)</f>
        <v/>
      </c>
      <c r="Y81" s="1415"/>
      <c r="Z81" s="1415"/>
      <c r="AA81" s="1415"/>
      <c r="AB81" s="1416" t="str">
        <f>IF(Feats!H45="","",Feats!L45)</f>
        <v/>
      </c>
      <c r="AC81" s="637"/>
    </row>
    <row r="82" spans="1:29" ht="19.5" customHeight="1" collapsed="1" x14ac:dyDescent="0.25">
      <c r="A82" s="656"/>
      <c r="B82" s="1414" t="str">
        <f>IF(Feats!H22="","",Feats!H22)</f>
        <v>Bravery (Expert WIL)</v>
      </c>
      <c r="C82" s="1415"/>
      <c r="D82" s="1415"/>
      <c r="E82" s="1415"/>
      <c r="F82" s="1415"/>
      <c r="G82" s="1415"/>
      <c r="H82" s="1415"/>
      <c r="I82" s="1415"/>
      <c r="J82" s="1415" t="str">
        <f>IF(Feats!H22="","",Feats!M22)</f>
        <v>Class ability</v>
      </c>
      <c r="K82" s="1415"/>
      <c r="L82" s="1415"/>
      <c r="M82" s="1415"/>
      <c r="N82" s="1416">
        <f>IF(Feats!H22="","",Feats!L22)</f>
        <v>3</v>
      </c>
      <c r="O82" s="1413"/>
      <c r="P82" s="1414" t="str">
        <f>IF(Feats!H46="","",Feats!H46)</f>
        <v/>
      </c>
      <c r="Q82" s="1415"/>
      <c r="R82" s="1415"/>
      <c r="S82" s="1415"/>
      <c r="T82" s="1415"/>
      <c r="U82" s="1415"/>
      <c r="V82" s="1415"/>
      <c r="W82" s="1415"/>
      <c r="X82" s="1415" t="str">
        <f>IF(Feats!H46="","",Feats!M46)</f>
        <v/>
      </c>
      <c r="Y82" s="1415"/>
      <c r="Z82" s="1415"/>
      <c r="AA82" s="1415"/>
      <c r="AB82" s="1416" t="str">
        <f>IF(Feats!H46="","",Feats!L46)</f>
        <v/>
      </c>
      <c r="AC82" s="637"/>
    </row>
    <row r="83" spans="1:29" ht="19.5" hidden="1" customHeight="1" outlineLevel="1" x14ac:dyDescent="0.25">
      <c r="A83" s="656"/>
      <c r="B83" s="1414" t="str">
        <f>IF(Feats!H23="","",Feats!H23)</f>
        <v/>
      </c>
      <c r="C83" s="1415"/>
      <c r="D83" s="1415"/>
      <c r="E83" s="1415"/>
      <c r="F83" s="1415"/>
      <c r="G83" s="1415"/>
      <c r="H83" s="1415"/>
      <c r="I83" s="1415"/>
      <c r="J83" s="1415" t="str">
        <f>IF(Feats!H23="","",Feats!M23)</f>
        <v/>
      </c>
      <c r="K83" s="1415"/>
      <c r="L83" s="1415"/>
      <c r="M83" s="1415"/>
      <c r="N83" s="1416" t="str">
        <f>IF(Feats!H23="","",Feats!L23)</f>
        <v/>
      </c>
      <c r="O83" s="1413"/>
      <c r="P83" s="1414" t="str">
        <f>IF(Feats!H47="","",Feats!H47)</f>
        <v/>
      </c>
      <c r="Q83" s="1415"/>
      <c r="R83" s="1415"/>
      <c r="S83" s="1415"/>
      <c r="T83" s="1415"/>
      <c r="U83" s="1415"/>
      <c r="V83" s="1415"/>
      <c r="W83" s="1415"/>
      <c r="X83" s="1415" t="str">
        <f>IF(Feats!H47="","",Feats!M47)</f>
        <v/>
      </c>
      <c r="Y83" s="1415"/>
      <c r="Z83" s="1415"/>
      <c r="AA83" s="1415"/>
      <c r="AB83" s="1416" t="str">
        <f>IF(Feats!H47="","",Feats!L47)</f>
        <v/>
      </c>
      <c r="AC83" s="637"/>
    </row>
    <row r="84" spans="1:29" ht="19.5" hidden="1" customHeight="1" outlineLevel="1" x14ac:dyDescent="0.25">
      <c r="A84" s="656"/>
      <c r="B84" s="1414" t="str">
        <f>IF(Feats!H24="","",Feats!H24)</f>
        <v/>
      </c>
      <c r="C84" s="1415"/>
      <c r="D84" s="1415"/>
      <c r="E84" s="1415"/>
      <c r="F84" s="1415"/>
      <c r="G84" s="1415"/>
      <c r="H84" s="1415"/>
      <c r="I84" s="1415"/>
      <c r="J84" s="1415" t="str">
        <f>IF(Feats!H24="","",Feats!M24)</f>
        <v/>
      </c>
      <c r="K84" s="1415"/>
      <c r="L84" s="1415"/>
      <c r="M84" s="1415"/>
      <c r="N84" s="1416" t="str">
        <f>IF(Feats!H24="","",Feats!L24)</f>
        <v/>
      </c>
      <c r="O84" s="1413"/>
      <c r="P84" s="1414" t="str">
        <f>IF(Feats!H48="","",Feats!H48)</f>
        <v/>
      </c>
      <c r="Q84" s="1415"/>
      <c r="R84" s="1415"/>
      <c r="S84" s="1415"/>
      <c r="T84" s="1415"/>
      <c r="U84" s="1415"/>
      <c r="V84" s="1415"/>
      <c r="W84" s="1415"/>
      <c r="X84" s="1415" t="str">
        <f>IF(Feats!H48="","",Feats!M48)</f>
        <v/>
      </c>
      <c r="Y84" s="1415"/>
      <c r="Z84" s="1415"/>
      <c r="AA84" s="1415"/>
      <c r="AB84" s="1416" t="str">
        <f>IF(Feats!H48="","",Feats!L48)</f>
        <v/>
      </c>
      <c r="AC84" s="637"/>
    </row>
    <row r="85" spans="1:29" ht="19.5" customHeight="1" collapsed="1" x14ac:dyDescent="0.25">
      <c r="A85" s="656"/>
      <c r="B85" s="1414" t="str">
        <f>IF(Feats!H25="","",Feats!H25)</f>
        <v>Diehard</v>
      </c>
      <c r="C85" s="1415"/>
      <c r="D85" s="1415"/>
      <c r="E85" s="1415"/>
      <c r="F85" s="1415"/>
      <c r="G85" s="1415"/>
      <c r="H85" s="1415"/>
      <c r="I85" s="1415"/>
      <c r="J85" s="1415" t="str">
        <f>IF(Feats!H25="","",Feats!M25)</f>
        <v>General feat</v>
      </c>
      <c r="K85" s="1415"/>
      <c r="L85" s="1415"/>
      <c r="M85" s="1415"/>
      <c r="N85" s="1416">
        <f>IF(Feats!H25="","",Feats!L25)</f>
        <v>3</v>
      </c>
      <c r="O85" s="1413"/>
      <c r="P85" s="1414" t="str">
        <f>IF(Feats!H49="","",Feats!H49)</f>
        <v/>
      </c>
      <c r="Q85" s="1415"/>
      <c r="R85" s="1415"/>
      <c r="S85" s="1415"/>
      <c r="T85" s="1415"/>
      <c r="U85" s="1415"/>
      <c r="V85" s="1415"/>
      <c r="W85" s="1415"/>
      <c r="X85" s="1415" t="str">
        <f>IF(Feats!H49="","",Feats!M49)</f>
        <v/>
      </c>
      <c r="Y85" s="1415"/>
      <c r="Z85" s="1415"/>
      <c r="AA85" s="1415"/>
      <c r="AB85" s="1416" t="str">
        <f>IF(Feats!H49="","",Feats!L49)</f>
        <v/>
      </c>
      <c r="AC85" s="637"/>
    </row>
    <row r="86" spans="1:29" ht="19.5" customHeight="1" x14ac:dyDescent="0.25">
      <c r="A86" s="656"/>
      <c r="B86" s="1414" t="str">
        <f>IF(Feats!H26="","",Feats!H26)</f>
        <v>Expert in Athletics</v>
      </c>
      <c r="C86" s="1415"/>
      <c r="D86" s="1415"/>
      <c r="E86" s="1415"/>
      <c r="F86" s="1415"/>
      <c r="G86" s="1415"/>
      <c r="H86" s="1415"/>
      <c r="I86" s="1415"/>
      <c r="J86" s="1415" t="str">
        <f>IF(Feats!H26="","",Feats!M26)</f>
        <v>Skill increase</v>
      </c>
      <c r="K86" s="1415"/>
      <c r="L86" s="1415"/>
      <c r="M86" s="1415"/>
      <c r="N86" s="1416">
        <f>IF(Feats!H26="","",Feats!L26)</f>
        <v>3</v>
      </c>
      <c r="O86" s="1413"/>
      <c r="P86" s="1414" t="str">
        <f>IF(Feats!H50="","",Feats!H50)</f>
        <v/>
      </c>
      <c r="Q86" s="1415"/>
      <c r="R86" s="1415"/>
      <c r="S86" s="1415"/>
      <c r="T86" s="1415"/>
      <c r="U86" s="1415"/>
      <c r="V86" s="1415"/>
      <c r="W86" s="1415"/>
      <c r="X86" s="1415" t="str">
        <f>IF(Feats!H50="","",Feats!M50)</f>
        <v/>
      </c>
      <c r="Y86" s="1415"/>
      <c r="Z86" s="1415"/>
      <c r="AA86" s="1415"/>
      <c r="AB86" s="1416" t="str">
        <f>IF(Feats!H50="","",Feats!L50)</f>
        <v/>
      </c>
      <c r="AC86" s="637"/>
    </row>
    <row r="87" spans="1:29" ht="19.5" hidden="1" customHeight="1" outlineLevel="1" x14ac:dyDescent="0.25">
      <c r="A87" s="656"/>
      <c r="B87" s="1414" t="str">
        <f>IF(Feats!H27="","",Feats!H27)</f>
        <v/>
      </c>
      <c r="C87" s="1415"/>
      <c r="D87" s="1415"/>
      <c r="E87" s="1415"/>
      <c r="F87" s="1415"/>
      <c r="G87" s="1415"/>
      <c r="H87" s="1415"/>
      <c r="I87" s="1415"/>
      <c r="J87" s="1415" t="str">
        <f>IF(Feats!H27="","",Feats!M27)</f>
        <v/>
      </c>
      <c r="K87" s="1415"/>
      <c r="L87" s="1415"/>
      <c r="M87" s="1415"/>
      <c r="N87" s="1416" t="str">
        <f>IF(Feats!H27="","",Feats!L27)</f>
        <v/>
      </c>
      <c r="O87" s="1413"/>
      <c r="P87" s="1414"/>
      <c r="Q87" s="1415"/>
      <c r="R87" s="1415"/>
      <c r="S87" s="1415"/>
      <c r="T87" s="1415"/>
      <c r="U87" s="1415"/>
      <c r="V87" s="1415"/>
      <c r="W87" s="1415"/>
      <c r="X87" s="1415"/>
      <c r="Y87" s="1415"/>
      <c r="Z87" s="1415"/>
      <c r="AA87" s="1415"/>
      <c r="AB87" s="1417"/>
      <c r="AC87" s="637"/>
    </row>
    <row r="88" spans="1:29" ht="19.5" customHeight="1" collapsed="1" x14ac:dyDescent="0.25">
      <c r="A88" s="656"/>
      <c r="B88" s="1418" t="str">
        <f>IF(Feats!H28="","",Feats!H28)</f>
        <v>Underwater Marauder (T Athletics)</v>
      </c>
      <c r="C88" s="1419"/>
      <c r="D88" s="1419"/>
      <c r="E88" s="1419"/>
      <c r="F88" s="1419"/>
      <c r="G88" s="1419"/>
      <c r="H88" s="1419"/>
      <c r="I88" s="1420"/>
      <c r="J88" s="1419" t="str">
        <f>IF(Feats!H28="","",Feats!M28)</f>
        <v>Skill feat</v>
      </c>
      <c r="K88" s="1420"/>
      <c r="L88" s="1419"/>
      <c r="M88" s="1419"/>
      <c r="N88" s="1421">
        <f>IF(Feats!H28="","",Feats!L28)</f>
        <v>4</v>
      </c>
      <c r="O88" s="1413"/>
      <c r="P88" s="1418"/>
      <c r="Q88" s="1419"/>
      <c r="R88" s="1419"/>
      <c r="S88" s="1419"/>
      <c r="T88" s="1419"/>
      <c r="U88" s="1419"/>
      <c r="V88" s="1419"/>
      <c r="W88" s="1419"/>
      <c r="X88" s="1419"/>
      <c r="Y88" s="1419"/>
      <c r="Z88" s="1419"/>
      <c r="AA88" s="1419"/>
      <c r="AB88" s="1422"/>
      <c r="AC88" s="637"/>
    </row>
    <row r="89" spans="1:29" s="627" customFormat="1"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s="627" customFormat="1" ht="19.5" hidden="1" customHeight="1" outlineLevel="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hidden="1" customHeight="1" outlineLevel="1" x14ac:dyDescent="0.3">
      <c r="A91" s="648"/>
      <c r="B91" s="640" t="s">
        <v>551</v>
      </c>
      <c r="C91" s="641"/>
      <c r="D91" s="641"/>
      <c r="E91" s="641"/>
      <c r="F91" s="641"/>
      <c r="G91" s="641"/>
      <c r="H91" s="641"/>
      <c r="I91" s="641"/>
      <c r="J91" s="641"/>
      <c r="K91" s="640" t="s">
        <v>165</v>
      </c>
      <c r="L91" s="641"/>
      <c r="M91" s="640" t="s">
        <v>553</v>
      </c>
      <c r="N91" s="641"/>
      <c r="O91" s="641"/>
      <c r="P91" s="641"/>
      <c r="Q91" s="641"/>
      <c r="R91" s="641"/>
      <c r="S91" s="641"/>
      <c r="T91" s="641"/>
      <c r="U91" s="641"/>
      <c r="V91" s="641"/>
      <c r="W91" s="641"/>
      <c r="X91" s="641"/>
      <c r="Y91" s="1265" t="s">
        <v>165</v>
      </c>
      <c r="Z91" s="641"/>
      <c r="AA91" s="641"/>
      <c r="AB91" s="641"/>
      <c r="AC91" s="642"/>
    </row>
    <row r="92" spans="1:29" ht="19.5" hidden="1" customHeight="1" outlineLevel="1" x14ac:dyDescent="0.3">
      <c r="A92" s="643"/>
      <c r="B92" s="490"/>
      <c r="C92" s="490"/>
      <c r="D92" s="489" t="s">
        <v>324</v>
      </c>
      <c r="E92" s="490"/>
      <c r="F92" s="490"/>
      <c r="G92" s="490"/>
      <c r="H92" s="490"/>
      <c r="I92" s="489" t="s">
        <v>79</v>
      </c>
      <c r="J92" s="490"/>
      <c r="K92" s="640" t="s">
        <v>490</v>
      </c>
      <c r="L92" s="490"/>
      <c r="M92" s="669" t="s">
        <v>554</v>
      </c>
      <c r="N92" s="701" t="str">
        <f>IF(Spells!H17="","",Spells!H17)</f>
        <v/>
      </c>
      <c r="O92" s="702" t="str">
        <f>IF(Spells!H18="","",Spells!H18)</f>
        <v/>
      </c>
      <c r="P92" s="702" t="str">
        <f>IF(Spells!H19="","",Spells!H19)</f>
        <v/>
      </c>
      <c r="Q92" s="702" t="str">
        <f>IF(Spells!H20="","",Spells!H20)</f>
        <v/>
      </c>
      <c r="R92" s="702"/>
      <c r="S92" s="703"/>
      <c r="T92" s="703" t="str">
        <f>IF(Spells!H23="","",Spells!H23)</f>
        <v/>
      </c>
      <c r="U92" s="703" t="str">
        <f>IF(Spells!H24="","",Spells!H24)</f>
        <v/>
      </c>
      <c r="V92" s="703" t="str">
        <f>IF(Spells!H25="","",Spells!H25)</f>
        <v/>
      </c>
      <c r="W92" s="1226" t="str">
        <f>IF(Spells!H26="","",Spells!H26)</f>
        <v/>
      </c>
      <c r="X92" s="490"/>
      <c r="Y92" s="1265" t="s">
        <v>983</v>
      </c>
      <c r="Z92" s="490"/>
      <c r="AA92" s="490"/>
      <c r="AB92" s="490"/>
      <c r="AC92" s="637"/>
    </row>
    <row r="93" spans="1:29" ht="19.5" hidden="1" customHeight="1" outlineLevel="1" x14ac:dyDescent="0.25">
      <c r="A93" s="643"/>
      <c r="B93" s="768">
        <f>Skills!H38</f>
        <v>0</v>
      </c>
      <c r="C93" s="704" t="s">
        <v>502</v>
      </c>
      <c r="D93" s="705">
        <f>Skills!H207</f>
        <v>0</v>
      </c>
      <c r="E93" s="706">
        <f>Skills!H165</f>
        <v>0</v>
      </c>
      <c r="F93" s="1466"/>
      <c r="G93" s="707" t="s">
        <v>499</v>
      </c>
      <c r="H93" s="705">
        <f>Skills!H70</f>
        <v>4</v>
      </c>
      <c r="I93" s="708" t="str">
        <f>Skills!H71</f>
        <v>STR</v>
      </c>
      <c r="J93" s="490"/>
      <c r="K93" s="771">
        <f>Spells!H4</f>
        <v>0</v>
      </c>
      <c r="L93" s="490"/>
      <c r="M93" s="669" t="s">
        <v>490</v>
      </c>
      <c r="N93" s="492">
        <v>1</v>
      </c>
      <c r="O93" s="457">
        <v>2</v>
      </c>
      <c r="P93" s="457">
        <v>3</v>
      </c>
      <c r="Q93" s="457">
        <v>4</v>
      </c>
      <c r="R93" s="457">
        <v>5</v>
      </c>
      <c r="S93" s="457">
        <v>6</v>
      </c>
      <c r="T93" s="457">
        <v>7</v>
      </c>
      <c r="U93" s="457">
        <v>8</v>
      </c>
      <c r="V93" s="448">
        <v>9</v>
      </c>
      <c r="W93" s="1224">
        <v>10</v>
      </c>
      <c r="X93" s="490"/>
      <c r="Y93" s="771">
        <f>Spells!H16</f>
        <v>0</v>
      </c>
      <c r="Z93" s="490"/>
      <c r="AA93" s="490"/>
      <c r="AB93" s="490"/>
      <c r="AC93" s="637"/>
    </row>
    <row r="94" spans="1:29" ht="19.5" hidden="1" customHeight="1" outlineLevel="1" x14ac:dyDescent="0.3">
      <c r="A94" s="596"/>
      <c r="B94" s="769">
        <f>Skills!H39</f>
        <v>0</v>
      </c>
      <c r="C94" s="709" t="s">
        <v>552</v>
      </c>
      <c r="D94" s="710">
        <f>Skills!H208</f>
        <v>0</v>
      </c>
      <c r="E94" s="711">
        <f>Skills!H167</f>
        <v>0</v>
      </c>
      <c r="F94" s="1420"/>
      <c r="G94" s="712" t="s">
        <v>499</v>
      </c>
      <c r="H94" s="710">
        <f>Skills!H70</f>
        <v>4</v>
      </c>
      <c r="I94" s="713" t="str">
        <f>Skills!H71</f>
        <v>STR</v>
      </c>
      <c r="J94" s="490"/>
      <c r="K94" s="130"/>
      <c r="L94" s="493"/>
      <c r="M94" s="670" t="s">
        <v>459</v>
      </c>
      <c r="N94" s="698" t="str">
        <f>IF(Spells!H6="","",Spells!H6)</f>
        <v/>
      </c>
      <c r="O94" s="699" t="str">
        <f>IF(Spells!H7="","",Spells!H7)</f>
        <v/>
      </c>
      <c r="P94" s="699" t="str">
        <f>IF(Spells!H8="","",Spells!H8)</f>
        <v/>
      </c>
      <c r="Q94" s="699" t="str">
        <f>IF(Spells!H9="","",Spells!H9)</f>
        <v/>
      </c>
      <c r="R94" s="699"/>
      <c r="S94" s="699"/>
      <c r="T94" s="699"/>
      <c r="U94" s="699"/>
      <c r="V94" s="700"/>
      <c r="W94" s="1225"/>
      <c r="X94" s="671"/>
      <c r="Y94" s="130"/>
      <c r="Z94" s="490"/>
      <c r="AA94" s="490"/>
      <c r="AB94" s="490"/>
      <c r="AC94" s="637"/>
    </row>
    <row r="95" spans="1:29" s="450" customFormat="1" ht="19.5" hidden="1" customHeight="1" outlineLevel="1" x14ac:dyDescent="0.3">
      <c r="A95" s="672"/>
      <c r="B95" s="673" t="s">
        <v>555</v>
      </c>
      <c r="C95" s="674"/>
      <c r="D95" s="674"/>
      <c r="E95" s="674"/>
      <c r="F95" s="674"/>
      <c r="G95" s="674"/>
      <c r="H95" s="674"/>
      <c r="I95" s="674"/>
      <c r="J95" s="674"/>
      <c r="M95" s="670" t="s">
        <v>936</v>
      </c>
      <c r="N95" s="1218" t="str">
        <f>IF(Spells!H27="","",Spells!H27)</f>
        <v/>
      </c>
      <c r="O95" s="1219" t="str">
        <f>IF(Spells!H28="","",Spells!H28)</f>
        <v/>
      </c>
      <c r="P95" s="1219" t="str">
        <f>IF(Spells!H29="","",Spells!H29)</f>
        <v/>
      </c>
      <c r="Q95" s="1219" t="str">
        <f>IF(Spells!H30="","",Spells!H30)</f>
        <v/>
      </c>
      <c r="R95" s="1219" t="str">
        <f>IF(Spells!H31="","",Spells!H31)</f>
        <v/>
      </c>
      <c r="S95" s="1220" t="str">
        <f>IF(Spells!H32="","",Spells!H32)</f>
        <v/>
      </c>
      <c r="T95" s="1220" t="str">
        <f>IF(Spells!H33="","",Spells!H33)</f>
        <v/>
      </c>
      <c r="U95" s="1220" t="str">
        <f>IF(Spells!H34="","",Spells!H34)</f>
        <v/>
      </c>
      <c r="V95" s="1220" t="str">
        <f>IF(Spells!H35="","",Spells!H35)</f>
        <v/>
      </c>
      <c r="W95" s="1222" t="str">
        <f>IF(Spells!H36="","",Spells!H36)</f>
        <v/>
      </c>
      <c r="AB95" s="641"/>
      <c r="AC95" s="642"/>
    </row>
    <row r="96" spans="1:29" s="627" customFormat="1" ht="19.5" hidden="1" customHeight="1" outlineLevel="1" x14ac:dyDescent="0.3">
      <c r="A96" s="596"/>
      <c r="B96" s="838" t="str">
        <f>IF(Feats!H14="","",Feats!H14)</f>
        <v/>
      </c>
      <c r="C96" s="130"/>
      <c r="D96" s="130"/>
      <c r="E96" s="838"/>
      <c r="F96" s="674"/>
      <c r="G96" s="838"/>
      <c r="H96" s="838"/>
      <c r="I96" s="674"/>
      <c r="J96" s="130"/>
      <c r="K96" s="837" t="s">
        <v>166</v>
      </c>
      <c r="L96" s="674"/>
      <c r="M96" s="674"/>
      <c r="N96" s="675"/>
      <c r="O96" s="675"/>
      <c r="P96" s="675"/>
      <c r="Q96" s="675"/>
      <c r="R96" s="675"/>
      <c r="S96" s="675"/>
      <c r="T96" s="675"/>
      <c r="U96" s="675"/>
      <c r="V96" s="675"/>
      <c r="W96" s="675"/>
      <c r="X96" s="674"/>
      <c r="Y96" s="674"/>
      <c r="Z96" s="641"/>
      <c r="AA96" s="641"/>
      <c r="AB96" s="838"/>
      <c r="AC96" s="637"/>
    </row>
    <row r="97" spans="1:29" s="627" customFormat="1" ht="19.5" hidden="1" customHeight="1" outlineLevel="1" x14ac:dyDescent="0.3">
      <c r="A97" s="596"/>
      <c r="B97" s="676" t="s">
        <v>557</v>
      </c>
      <c r="C97" s="130"/>
      <c r="D97" s="130"/>
      <c r="E97" s="674"/>
      <c r="F97" s="491" t="str">
        <f>IF(Spells!H5="","",Spells!H5)</f>
        <v/>
      </c>
      <c r="G97" s="130"/>
      <c r="H97" s="674"/>
      <c r="I97" s="674"/>
      <c r="J97" s="130"/>
      <c r="K97" s="1423" t="str">
        <f>IF(Spells!H98="","","["&amp;Spells!H98&amp;"] "&amp;Spells!H99&amp;" ["&amp;Spells!H101&amp;"]")</f>
        <v/>
      </c>
      <c r="L97" s="1424"/>
      <c r="M97" s="1425"/>
      <c r="N97" s="1425"/>
      <c r="O97" s="1425"/>
      <c r="P97" s="1425"/>
      <c r="Q97" s="1425"/>
      <c r="R97" s="1426"/>
      <c r="S97" s="1404"/>
      <c r="T97" s="1427"/>
      <c r="U97" s="1424"/>
      <c r="V97" s="747"/>
      <c r="W97" s="747"/>
      <c r="X97" s="747"/>
      <c r="Y97" s="747"/>
      <c r="Z97" s="747"/>
      <c r="AA97" s="1350"/>
      <c r="AB97" s="838"/>
      <c r="AC97" s="637"/>
    </row>
    <row r="98" spans="1:29" s="627" customFormat="1" ht="19.5" hidden="1" customHeight="1" outlineLevel="1" x14ac:dyDescent="0.25">
      <c r="A98" s="596"/>
      <c r="B98" s="676" t="s">
        <v>165</v>
      </c>
      <c r="C98" s="130"/>
      <c r="D98" s="130"/>
      <c r="E98" s="130"/>
      <c r="F98" s="130"/>
      <c r="G98" s="130"/>
      <c r="H98" s="130"/>
      <c r="I98" s="130"/>
      <c r="J98" s="130"/>
      <c r="K98" s="1428" t="str">
        <f>IF(Spells!H100="","",Spells!H100)</f>
        <v/>
      </c>
      <c r="L98" s="749"/>
      <c r="M98" s="1429"/>
      <c r="N98" s="1429"/>
      <c r="O98" s="1429"/>
      <c r="P98" s="1429"/>
      <c r="Q98" s="1430"/>
      <c r="R98" s="1431"/>
      <c r="S98" s="1432"/>
      <c r="T98" s="1433"/>
      <c r="U98" s="749"/>
      <c r="V98" s="1434"/>
      <c r="W98" s="1434"/>
      <c r="X98" s="1434"/>
      <c r="Y98" s="1434"/>
      <c r="Z98" s="1434"/>
      <c r="AA98" s="1435"/>
      <c r="AB98" s="838"/>
      <c r="AC98" s="637"/>
    </row>
    <row r="99" spans="1:29" s="627" customFormat="1" ht="19.5" hidden="1" customHeight="1" outlineLevel="1" x14ac:dyDescent="0.25">
      <c r="A99" s="596"/>
      <c r="B99" s="1449" t="str">
        <f>IF(Spells!H54="","","["&amp;Spells!H54&amp;"] "&amp;Spells!H55&amp;" ["&amp;Spells!H57&amp;"]")</f>
        <v/>
      </c>
      <c r="C99" s="1330"/>
      <c r="D99" s="1330"/>
      <c r="E99" s="1450"/>
      <c r="F99" s="1450"/>
      <c r="G99" s="1451"/>
      <c r="H99" s="1452"/>
      <c r="I99" s="1453"/>
      <c r="J99" s="130"/>
      <c r="K99" s="1436" t="str">
        <f>IF(Spells!H102="","","["&amp;Spells!H102&amp;"] "&amp;Spells!H103&amp;" ["&amp;Spells!H105&amp;"]")</f>
        <v/>
      </c>
      <c r="L99" s="749"/>
      <c r="M99" s="1429"/>
      <c r="N99" s="1429"/>
      <c r="O99" s="1429"/>
      <c r="P99" s="1429"/>
      <c r="Q99" s="1430"/>
      <c r="R99" s="1431"/>
      <c r="S99" s="1432"/>
      <c r="T99" s="1433"/>
      <c r="U99" s="749"/>
      <c r="V99" s="1434"/>
      <c r="W99" s="1434"/>
      <c r="X99" s="1434"/>
      <c r="Y99" s="1434"/>
      <c r="Z99" s="1434"/>
      <c r="AA99" s="1435"/>
      <c r="AB99" s="838"/>
      <c r="AC99" s="637"/>
    </row>
    <row r="100" spans="1:29" s="627" customFormat="1" ht="19.5" hidden="1" customHeight="1" outlineLevel="1" x14ac:dyDescent="0.25">
      <c r="A100" s="596"/>
      <c r="B100" s="1454" t="str">
        <f>IF(Spells!H56="","",Spells!H56)</f>
        <v/>
      </c>
      <c r="C100" s="1334"/>
      <c r="D100" s="1334"/>
      <c r="E100" s="1455"/>
      <c r="F100" s="1455"/>
      <c r="G100" s="1455"/>
      <c r="H100" s="1456"/>
      <c r="I100" s="1457"/>
      <c r="J100" s="130"/>
      <c r="K100" s="1428" t="str">
        <f>IF(Spells!H104="","",Spells!H104)</f>
        <v/>
      </c>
      <c r="L100" s="749"/>
      <c r="M100" s="1429"/>
      <c r="N100" s="1429"/>
      <c r="O100" s="1429"/>
      <c r="P100" s="1429"/>
      <c r="Q100" s="1430"/>
      <c r="R100" s="1431"/>
      <c r="S100" s="1432"/>
      <c r="T100" s="1433"/>
      <c r="U100" s="749"/>
      <c r="V100" s="1434"/>
      <c r="W100" s="1434"/>
      <c r="X100" s="1434"/>
      <c r="Y100" s="1434"/>
      <c r="Z100" s="1434"/>
      <c r="AA100" s="1435"/>
      <c r="AB100" s="838"/>
      <c r="AC100" s="637"/>
    </row>
    <row r="101" spans="1:29" s="627" customFormat="1" ht="19.5" hidden="1" customHeight="1" outlineLevel="1" x14ac:dyDescent="0.25">
      <c r="A101" s="596"/>
      <c r="B101" s="1458" t="str">
        <f>IF(Spells!H58="","","["&amp;Spells!H58&amp;"] "&amp;Spells!H59&amp;" ["&amp;Spells!H61&amp;"]")</f>
        <v/>
      </c>
      <c r="C101" s="1335"/>
      <c r="D101" s="1334"/>
      <c r="E101" s="1455"/>
      <c r="F101" s="1456"/>
      <c r="G101" s="1455"/>
      <c r="H101" s="1459"/>
      <c r="I101" s="1457"/>
      <c r="J101" s="130"/>
      <c r="K101" s="1436" t="str">
        <f>IF(Spells!H106="","","["&amp;Spells!H106&amp;"] "&amp;Spells!H107&amp;" ["&amp;Spells!H109&amp;"]")</f>
        <v/>
      </c>
      <c r="L101" s="749"/>
      <c r="M101" s="1429"/>
      <c r="N101" s="1429"/>
      <c r="O101" s="1429"/>
      <c r="P101" s="1429"/>
      <c r="Q101" s="1430"/>
      <c r="R101" s="1431"/>
      <c r="S101" s="1432"/>
      <c r="T101" s="1433"/>
      <c r="U101" s="749"/>
      <c r="V101" s="1434"/>
      <c r="W101" s="1434"/>
      <c r="X101" s="1434"/>
      <c r="Y101" s="1434"/>
      <c r="Z101" s="1434"/>
      <c r="AA101" s="1435"/>
      <c r="AB101" s="838"/>
      <c r="AC101" s="637"/>
    </row>
    <row r="102" spans="1:29" s="627" customFormat="1" ht="19.5" hidden="1" customHeight="1" outlineLevel="1" x14ac:dyDescent="0.25">
      <c r="A102" s="596"/>
      <c r="B102" s="1454" t="str">
        <f>IF(Spells!H60="","",Spells!H60)</f>
        <v/>
      </c>
      <c r="C102" s="1460"/>
      <c r="D102" s="1334"/>
      <c r="E102" s="1455"/>
      <c r="F102" s="1456"/>
      <c r="G102" s="1455"/>
      <c r="H102" s="1456"/>
      <c r="I102" s="1457"/>
      <c r="J102" s="130"/>
      <c r="K102" s="1428" t="str">
        <f>IF(Spells!H108="","",Spells!H108)</f>
        <v/>
      </c>
      <c r="L102" s="749"/>
      <c r="M102" s="1429"/>
      <c r="N102" s="1429"/>
      <c r="O102" s="1429"/>
      <c r="P102" s="1429"/>
      <c r="Q102" s="1430"/>
      <c r="R102" s="1431"/>
      <c r="S102" s="1432"/>
      <c r="T102" s="1433"/>
      <c r="U102" s="749"/>
      <c r="V102" s="1434"/>
      <c r="W102" s="1434"/>
      <c r="X102" s="1434"/>
      <c r="Y102" s="1434"/>
      <c r="Z102" s="1434"/>
      <c r="AA102" s="1435"/>
      <c r="AB102" s="838"/>
      <c r="AC102" s="637"/>
    </row>
    <row r="103" spans="1:29" s="627" customFormat="1" ht="19.5" hidden="1" customHeight="1" outlineLevel="1" x14ac:dyDescent="0.25">
      <c r="A103" s="596"/>
      <c r="B103" s="1458" t="str">
        <f>IF(Spells!H62="","","["&amp;Spells!H62&amp;"] "&amp;Spells!H63&amp;" ["&amp;Spells!H65&amp;"]")</f>
        <v/>
      </c>
      <c r="C103" s="1335"/>
      <c r="D103" s="1334"/>
      <c r="E103" s="1455"/>
      <c r="F103" s="1456"/>
      <c r="G103" s="1455"/>
      <c r="H103" s="1459"/>
      <c r="I103" s="1457"/>
      <c r="J103" s="130"/>
      <c r="K103" s="1436" t="str">
        <f>IF(Spells!H110="","","["&amp;Spells!H110&amp;"] "&amp;Spells!H111&amp;" ["&amp;Spells!H113&amp;"]")</f>
        <v/>
      </c>
      <c r="L103" s="749"/>
      <c r="M103" s="1429"/>
      <c r="N103" s="1429"/>
      <c r="O103" s="1429"/>
      <c r="P103" s="1429"/>
      <c r="Q103" s="1430"/>
      <c r="R103" s="1431"/>
      <c r="S103" s="1432"/>
      <c r="T103" s="1433"/>
      <c r="U103" s="749"/>
      <c r="V103" s="1434"/>
      <c r="W103" s="1434"/>
      <c r="X103" s="1434"/>
      <c r="Y103" s="1434"/>
      <c r="Z103" s="1434"/>
      <c r="AA103" s="1435"/>
      <c r="AB103" s="838"/>
      <c r="AC103" s="637"/>
    </row>
    <row r="104" spans="1:29" s="627" customFormat="1" ht="19.5" hidden="1" customHeight="1" outlineLevel="1" x14ac:dyDescent="0.25">
      <c r="A104" s="596"/>
      <c r="B104" s="1454" t="str">
        <f>IF(Spells!H64="","",Spells!H64)</f>
        <v/>
      </c>
      <c r="C104" s="1460"/>
      <c r="D104" s="1334"/>
      <c r="E104" s="1455"/>
      <c r="F104" s="1456"/>
      <c r="G104" s="1455"/>
      <c r="H104" s="1456"/>
      <c r="I104" s="1457"/>
      <c r="J104" s="130"/>
      <c r="K104" s="1428" t="str">
        <f>IF(Spells!H112="","",Spells!H112)</f>
        <v/>
      </c>
      <c r="L104" s="749"/>
      <c r="M104" s="1429"/>
      <c r="N104" s="1429"/>
      <c r="O104" s="1429"/>
      <c r="P104" s="1430"/>
      <c r="Q104" s="1430"/>
      <c r="R104" s="1431"/>
      <c r="S104" s="1432"/>
      <c r="T104" s="1433"/>
      <c r="U104" s="749"/>
      <c r="V104" s="1434"/>
      <c r="W104" s="1434"/>
      <c r="X104" s="1434"/>
      <c r="Y104" s="1434"/>
      <c r="Z104" s="1434"/>
      <c r="AA104" s="1435"/>
      <c r="AB104" s="838"/>
      <c r="AC104" s="637"/>
    </row>
    <row r="105" spans="1:29" s="627" customFormat="1" ht="19.5" hidden="1" customHeight="1" outlineLevel="1" x14ac:dyDescent="0.25">
      <c r="A105" s="596"/>
      <c r="B105" s="1458" t="str">
        <f>IF(Spells!H66="","","["&amp;Spells!H66&amp;"] "&amp;Spells!H67&amp;" ["&amp;Spells!H69&amp;"]")</f>
        <v/>
      </c>
      <c r="C105" s="1335"/>
      <c r="D105" s="1334"/>
      <c r="E105" s="1455"/>
      <c r="F105" s="1456"/>
      <c r="G105" s="1455"/>
      <c r="H105" s="1459"/>
      <c r="I105" s="1457"/>
      <c r="J105" s="130"/>
      <c r="K105" s="1436" t="str">
        <f>IF(Spells!H114="","","["&amp;Spells!H114&amp;"] "&amp;Spells!H115&amp;" ["&amp;Spells!H117&amp;"]")</f>
        <v/>
      </c>
      <c r="L105" s="749"/>
      <c r="M105" s="1429"/>
      <c r="N105" s="1429"/>
      <c r="O105" s="1429"/>
      <c r="P105" s="1430"/>
      <c r="Q105" s="1430"/>
      <c r="R105" s="1431"/>
      <c r="S105" s="1432"/>
      <c r="T105" s="1433"/>
      <c r="U105" s="749"/>
      <c r="V105" s="1434"/>
      <c r="W105" s="1434"/>
      <c r="X105" s="1434"/>
      <c r="Y105" s="1434"/>
      <c r="Z105" s="1434"/>
      <c r="AA105" s="1435"/>
      <c r="AB105" s="838"/>
      <c r="AC105" s="637"/>
    </row>
    <row r="106" spans="1:29" s="627" customFormat="1" ht="19.5" hidden="1" customHeight="1" outlineLevel="1" x14ac:dyDescent="0.25">
      <c r="A106" s="596"/>
      <c r="B106" s="1454" t="str">
        <f>IF(Spells!H68="","",Spells!H68)</f>
        <v/>
      </c>
      <c r="C106" s="1460"/>
      <c r="D106" s="1334"/>
      <c r="E106" s="1455"/>
      <c r="F106" s="1456"/>
      <c r="G106" s="1455"/>
      <c r="H106" s="1456"/>
      <c r="I106" s="1457"/>
      <c r="J106" s="130"/>
      <c r="K106" s="1428" t="str">
        <f>IF(Spells!H116="","",Spells!H116)</f>
        <v/>
      </c>
      <c r="L106" s="749"/>
      <c r="M106" s="1429"/>
      <c r="N106" s="1429"/>
      <c r="O106" s="1429"/>
      <c r="P106" s="1430"/>
      <c r="Q106" s="1430"/>
      <c r="R106" s="1431"/>
      <c r="S106" s="1432"/>
      <c r="T106" s="1433"/>
      <c r="U106" s="749"/>
      <c r="V106" s="1434"/>
      <c r="W106" s="1434"/>
      <c r="X106" s="1434"/>
      <c r="Y106" s="1434"/>
      <c r="Z106" s="1434"/>
      <c r="AA106" s="1435"/>
      <c r="AB106" s="838"/>
      <c r="AC106" s="637"/>
    </row>
    <row r="107" spans="1:29" s="627" customFormat="1" ht="19.5" hidden="1" customHeight="1" outlineLevel="1" x14ac:dyDescent="0.25">
      <c r="A107" s="596"/>
      <c r="B107" s="1458" t="str">
        <f>IF(Spells!H70="","","["&amp;Spells!H70&amp;"] "&amp;Spells!H71&amp;" ["&amp;Spells!H73&amp;"]")</f>
        <v/>
      </c>
      <c r="C107" s="1335"/>
      <c r="D107" s="1334"/>
      <c r="E107" s="1455"/>
      <c r="F107" s="1456"/>
      <c r="G107" s="1455"/>
      <c r="H107" s="1459"/>
      <c r="I107" s="1457"/>
      <c r="J107" s="130"/>
      <c r="K107" s="1436" t="str">
        <f>IF(Spells!H118="","","["&amp;Spells!H118&amp;"] "&amp;Spells!H119&amp;" ["&amp;Spells!H121&amp;"]")</f>
        <v/>
      </c>
      <c r="L107" s="749"/>
      <c r="M107" s="1429"/>
      <c r="N107" s="1429"/>
      <c r="O107" s="1429"/>
      <c r="P107" s="1430"/>
      <c r="Q107" s="1430"/>
      <c r="R107" s="1431"/>
      <c r="S107" s="1432"/>
      <c r="T107" s="1433"/>
      <c r="U107" s="749"/>
      <c r="V107" s="1434"/>
      <c r="W107" s="1434"/>
      <c r="X107" s="1434"/>
      <c r="Y107" s="1434"/>
      <c r="Z107" s="1434"/>
      <c r="AA107" s="1435"/>
      <c r="AB107" s="838"/>
      <c r="AC107" s="637"/>
    </row>
    <row r="108" spans="1:29" s="627" customFormat="1" ht="19.5" hidden="1" customHeight="1" outlineLevel="1" x14ac:dyDescent="0.25">
      <c r="A108" s="596"/>
      <c r="B108" s="1454" t="str">
        <f>IF(Spells!H72="","",Spells!H72)</f>
        <v/>
      </c>
      <c r="C108" s="1460"/>
      <c r="D108" s="1334"/>
      <c r="E108" s="1455"/>
      <c r="F108" s="1456"/>
      <c r="G108" s="1455"/>
      <c r="H108" s="1459"/>
      <c r="I108" s="1457"/>
      <c r="J108" s="130"/>
      <c r="K108" s="1428" t="str">
        <f>IF(Spells!H120="","",Spells!H120)</f>
        <v/>
      </c>
      <c r="L108" s="749"/>
      <c r="M108" s="1429"/>
      <c r="N108" s="1429"/>
      <c r="O108" s="1429"/>
      <c r="P108" s="1430"/>
      <c r="Q108" s="1430"/>
      <c r="R108" s="1431"/>
      <c r="S108" s="1432"/>
      <c r="T108" s="1433"/>
      <c r="U108" s="749"/>
      <c r="V108" s="1434"/>
      <c r="W108" s="1434"/>
      <c r="X108" s="1434"/>
      <c r="Y108" s="1434"/>
      <c r="Z108" s="1434"/>
      <c r="AA108" s="1435"/>
      <c r="AB108" s="838"/>
      <c r="AC108" s="637"/>
    </row>
    <row r="109" spans="1:29" s="627" customFormat="1" ht="19.5" hidden="1" customHeight="1" outlineLevel="1" x14ac:dyDescent="0.25">
      <c r="A109" s="596"/>
      <c r="B109" s="1458" t="str">
        <f>IF(Spells!H74="","","["&amp;Spells!H74&amp;"] "&amp;Spells!H75&amp;" ["&amp;Spells!H77&amp;"]")</f>
        <v/>
      </c>
      <c r="C109" s="1335"/>
      <c r="D109" s="1334"/>
      <c r="E109" s="1455"/>
      <c r="F109" s="1455"/>
      <c r="G109" s="1455"/>
      <c r="H109" s="1459"/>
      <c r="I109" s="1457"/>
      <c r="J109" s="130"/>
      <c r="K109" s="1436" t="str">
        <f>IF(Spells!H122="","","["&amp;Spells!H122&amp;"] "&amp;Spells!H123&amp;" ["&amp;Spells!H125&amp;"]")</f>
        <v/>
      </c>
      <c r="L109" s="749"/>
      <c r="M109" s="1429"/>
      <c r="N109" s="1429"/>
      <c r="O109" s="1429"/>
      <c r="P109" s="1430"/>
      <c r="Q109" s="1430"/>
      <c r="R109" s="1431"/>
      <c r="S109" s="1432"/>
      <c r="T109" s="1433"/>
      <c r="U109" s="749"/>
      <c r="V109" s="1434"/>
      <c r="W109" s="1434"/>
      <c r="X109" s="1434"/>
      <c r="Y109" s="1434"/>
      <c r="Z109" s="1434"/>
      <c r="AA109" s="1435"/>
      <c r="AB109" s="838"/>
      <c r="AC109" s="637"/>
    </row>
    <row r="110" spans="1:29" s="627" customFormat="1" ht="19.5" hidden="1" customHeight="1" outlineLevel="1" x14ac:dyDescent="0.25">
      <c r="A110" s="596"/>
      <c r="B110" s="1454" t="str">
        <f>IF(Spells!H76="","",Spells!H76)</f>
        <v/>
      </c>
      <c r="C110" s="1460"/>
      <c r="D110" s="1334"/>
      <c r="E110" s="1455"/>
      <c r="F110" s="1455"/>
      <c r="G110" s="1455"/>
      <c r="H110" s="1459"/>
      <c r="I110" s="1457"/>
      <c r="J110" s="130"/>
      <c r="K110" s="1428" t="str">
        <f>IF(Spells!H124="","",Spells!H124)</f>
        <v/>
      </c>
      <c r="L110" s="749"/>
      <c r="M110" s="1429"/>
      <c r="N110" s="1429"/>
      <c r="O110" s="1429"/>
      <c r="P110" s="1430"/>
      <c r="Q110" s="1430"/>
      <c r="R110" s="1431"/>
      <c r="S110" s="1432"/>
      <c r="T110" s="1433"/>
      <c r="U110" s="749"/>
      <c r="V110" s="1434"/>
      <c r="W110" s="1434"/>
      <c r="X110" s="1434"/>
      <c r="Y110" s="1434"/>
      <c r="Z110" s="1434"/>
      <c r="AA110" s="1435"/>
      <c r="AB110" s="838"/>
      <c r="AC110" s="637"/>
    </row>
    <row r="111" spans="1:29" s="627" customFormat="1" ht="19.5" hidden="1" customHeight="1" outlineLevel="1" x14ac:dyDescent="0.25">
      <c r="A111" s="596"/>
      <c r="B111" s="1458" t="str">
        <f>IF(Spells!H78="","","["&amp;Spells!H78&amp;"] "&amp;Spells!H79&amp;" ["&amp;Spells!H81&amp;"]")</f>
        <v/>
      </c>
      <c r="C111" s="1335"/>
      <c r="D111" s="1334"/>
      <c r="E111" s="1455"/>
      <c r="F111" s="1455"/>
      <c r="G111" s="1455"/>
      <c r="H111" s="1459"/>
      <c r="I111" s="1457"/>
      <c r="J111" s="130"/>
      <c r="K111" s="1437" t="str">
        <f>IF(Spells!H126="","","["&amp;Spells!H126&amp;"] "&amp;Spells!H127&amp;" ["&amp;Spells!H129&amp;"]")</f>
        <v/>
      </c>
      <c r="L111" s="749"/>
      <c r="M111" s="1429"/>
      <c r="N111" s="1429"/>
      <c r="O111" s="1429"/>
      <c r="P111" s="1430"/>
      <c r="Q111" s="1430"/>
      <c r="R111" s="1431"/>
      <c r="S111" s="1432"/>
      <c r="T111" s="1438"/>
      <c r="U111" s="749"/>
      <c r="V111" s="1434"/>
      <c r="W111" s="1434"/>
      <c r="X111" s="1434"/>
      <c r="Y111" s="1434"/>
      <c r="Z111" s="1434"/>
      <c r="AA111" s="1435"/>
      <c r="AB111" s="838"/>
      <c r="AC111" s="637"/>
    </row>
    <row r="112" spans="1:29" s="627" customFormat="1" ht="19.5" hidden="1" customHeight="1" outlineLevel="1" x14ac:dyDescent="0.25">
      <c r="A112" s="596"/>
      <c r="B112" s="1454" t="str">
        <f>IF(Spells!H80="","",Spells!H80)</f>
        <v/>
      </c>
      <c r="C112" s="1335"/>
      <c r="D112" s="1334"/>
      <c r="E112" s="1455"/>
      <c r="F112" s="1455"/>
      <c r="G112" s="1455"/>
      <c r="H112" s="1459"/>
      <c r="I112" s="1457"/>
      <c r="J112" s="130"/>
      <c r="K112" s="1428" t="str">
        <f>IF(Spells!H128="","",Spells!H128)</f>
        <v/>
      </c>
      <c r="L112" s="749"/>
      <c r="M112" s="1429"/>
      <c r="N112" s="1429"/>
      <c r="O112" s="1429"/>
      <c r="P112" s="1430"/>
      <c r="Q112" s="1430"/>
      <c r="R112" s="1431"/>
      <c r="S112" s="1432"/>
      <c r="T112" s="1438"/>
      <c r="U112" s="1439"/>
      <c r="V112" s="1434"/>
      <c r="W112" s="1434"/>
      <c r="X112" s="1434"/>
      <c r="Y112" s="1434"/>
      <c r="Z112" s="1434"/>
      <c r="AA112" s="1435"/>
      <c r="AB112" s="838"/>
      <c r="AC112" s="637"/>
    </row>
    <row r="113" spans="1:29" s="627" customFormat="1" ht="19.5" hidden="1" customHeight="1" outlineLevel="1" x14ac:dyDescent="0.25">
      <c r="A113" s="596"/>
      <c r="B113" s="1458" t="str">
        <f>IF(Spells!H82="","","["&amp;Spells!H82&amp;"] "&amp;Spells!H83&amp;" ["&amp;Spells!H85&amp;"]")</f>
        <v/>
      </c>
      <c r="C113" s="1335"/>
      <c r="D113" s="1334"/>
      <c r="E113" s="1455"/>
      <c r="F113" s="1455"/>
      <c r="G113" s="1455"/>
      <c r="H113" s="1459"/>
      <c r="I113" s="1457"/>
      <c r="J113" s="130"/>
      <c r="K113" s="1446" t="str">
        <f>IF(Spells!H130="","","["&amp;Spells!H130&amp;"] "&amp;Spells!H131&amp;" ["&amp;Spells!H133&amp;"]")</f>
        <v/>
      </c>
      <c r="L113" s="749"/>
      <c r="M113" s="1429"/>
      <c r="N113" s="1429"/>
      <c r="O113" s="1429"/>
      <c r="P113" s="1430"/>
      <c r="Q113" s="1430"/>
      <c r="R113" s="1431"/>
      <c r="S113" s="1432"/>
      <c r="T113" s="1438"/>
      <c r="U113" s="1439"/>
      <c r="V113" s="1434"/>
      <c r="W113" s="1434"/>
      <c r="X113" s="1434"/>
      <c r="Y113" s="1434"/>
      <c r="Z113" s="1434"/>
      <c r="AA113" s="1435"/>
      <c r="AB113" s="838"/>
      <c r="AC113" s="637"/>
    </row>
    <row r="114" spans="1:29" s="627" customFormat="1" ht="19.5" hidden="1" customHeight="1" outlineLevel="1" x14ac:dyDescent="0.25">
      <c r="A114" s="596"/>
      <c r="B114" s="1454" t="str">
        <f>IF(Spells!H84="","",Spells!H84)</f>
        <v/>
      </c>
      <c r="C114" s="1335"/>
      <c r="D114" s="1334"/>
      <c r="E114" s="1455"/>
      <c r="F114" s="1455"/>
      <c r="G114" s="1455"/>
      <c r="H114" s="1459"/>
      <c r="I114" s="1457"/>
      <c r="J114" s="130"/>
      <c r="K114" s="1428" t="str">
        <f>IF(Spells!H132="","",Spells!H132)</f>
        <v/>
      </c>
      <c r="L114" s="1439"/>
      <c r="M114" s="1429"/>
      <c r="N114" s="1429"/>
      <c r="O114" s="1429"/>
      <c r="P114" s="1430"/>
      <c r="Q114" s="1430"/>
      <c r="R114" s="1431"/>
      <c r="S114" s="1432"/>
      <c r="T114" s="1438"/>
      <c r="U114" s="1439"/>
      <c r="V114" s="1434"/>
      <c r="W114" s="1434"/>
      <c r="X114" s="1434"/>
      <c r="Y114" s="1434"/>
      <c r="Z114" s="1434"/>
      <c r="AA114" s="1435"/>
      <c r="AB114" s="838"/>
      <c r="AC114" s="637"/>
    </row>
    <row r="115" spans="1:29" s="627" customFormat="1" ht="19.5" hidden="1" customHeight="1" outlineLevel="1" x14ac:dyDescent="0.25">
      <c r="A115" s="596"/>
      <c r="B115" s="1458" t="str">
        <f>IF(Spells!H86="","","["&amp;Spells!H86&amp;"] "&amp;Spells!H87&amp;" ["&amp;Spells!H89&amp;"]")</f>
        <v/>
      </c>
      <c r="C115" s="1335"/>
      <c r="D115" s="1334"/>
      <c r="E115" s="1455"/>
      <c r="F115" s="1455"/>
      <c r="G115" s="1455"/>
      <c r="H115" s="1459"/>
      <c r="I115" s="1457"/>
      <c r="J115" s="130"/>
      <c r="K115" s="1437" t="str">
        <f>IF(Spells!H134="","","["&amp;Spells!H134&amp;"] "&amp;Spells!H135&amp;" ["&amp;Spells!H137&amp;"]")</f>
        <v/>
      </c>
      <c r="L115" s="1439"/>
      <c r="M115" s="1429"/>
      <c r="N115" s="1429"/>
      <c r="O115" s="1429"/>
      <c r="P115" s="1430"/>
      <c r="Q115" s="1430"/>
      <c r="R115" s="1431"/>
      <c r="S115" s="1432"/>
      <c r="T115" s="1438"/>
      <c r="U115" s="1439"/>
      <c r="V115" s="1434"/>
      <c r="W115" s="1434"/>
      <c r="X115" s="1434"/>
      <c r="Y115" s="1434"/>
      <c r="Z115" s="1434"/>
      <c r="AA115" s="1435"/>
      <c r="AB115" s="838"/>
      <c r="AC115" s="637"/>
    </row>
    <row r="116" spans="1:29" s="627" customFormat="1" ht="19.5" hidden="1" customHeight="1" outlineLevel="1" x14ac:dyDescent="0.25">
      <c r="A116" s="596"/>
      <c r="B116" s="1454" t="str">
        <f>IF(Spells!H88="","",Spells!H88)</f>
        <v/>
      </c>
      <c r="C116" s="1335"/>
      <c r="D116" s="1334"/>
      <c r="E116" s="1455"/>
      <c r="F116" s="1455"/>
      <c r="G116" s="1455"/>
      <c r="H116" s="1459"/>
      <c r="I116" s="1457"/>
      <c r="J116" s="130"/>
      <c r="K116" s="1428" t="str">
        <f>IF(Spells!H136="","",Spells!H136)</f>
        <v/>
      </c>
      <c r="L116" s="1439"/>
      <c r="M116" s="1429"/>
      <c r="N116" s="1429"/>
      <c r="O116" s="1429"/>
      <c r="P116" s="1430"/>
      <c r="Q116" s="1430"/>
      <c r="R116" s="1431"/>
      <c r="S116" s="1432"/>
      <c r="T116" s="1438"/>
      <c r="U116" s="1439"/>
      <c r="V116" s="1434"/>
      <c r="W116" s="1434"/>
      <c r="X116" s="1434"/>
      <c r="Y116" s="1434"/>
      <c r="Z116" s="1434"/>
      <c r="AA116" s="1435"/>
      <c r="AB116" s="838"/>
      <c r="AC116" s="637"/>
    </row>
    <row r="117" spans="1:29" s="627" customFormat="1" ht="19.5" hidden="1" customHeight="1" outlineLevel="1" x14ac:dyDescent="0.25">
      <c r="A117" s="596"/>
      <c r="B117" s="1458" t="str">
        <f>IF(Spells!H90="","","["&amp;Spells!H90&amp;"] "&amp;Spells!H91&amp;" ["&amp;Spells!H93&amp;"]")</f>
        <v/>
      </c>
      <c r="C117" s="1335"/>
      <c r="D117" s="1334"/>
      <c r="E117" s="1455"/>
      <c r="F117" s="1455"/>
      <c r="G117" s="1455"/>
      <c r="H117" s="1459"/>
      <c r="I117" s="1457"/>
      <c r="J117" s="130"/>
      <c r="K117" s="1437" t="str">
        <f>IF(Spells!H138="","","["&amp;Spells!H138&amp;"] "&amp;Spells!H139&amp;" ["&amp;Spells!H141&amp;"]")</f>
        <v/>
      </c>
      <c r="L117" s="1439"/>
      <c r="M117" s="1429"/>
      <c r="N117" s="1429"/>
      <c r="O117" s="1429"/>
      <c r="P117" s="1430"/>
      <c r="Q117" s="1430"/>
      <c r="R117" s="1431"/>
      <c r="S117" s="1432"/>
      <c r="T117" s="1438"/>
      <c r="U117" s="1439"/>
      <c r="V117" s="1434"/>
      <c r="W117" s="1434"/>
      <c r="X117" s="1434"/>
      <c r="Y117" s="1434"/>
      <c r="Z117" s="1434"/>
      <c r="AA117" s="1435"/>
      <c r="AB117" s="838"/>
      <c r="AC117" s="637"/>
    </row>
    <row r="118" spans="1:29" s="627" customFormat="1" ht="19.5" hidden="1" customHeight="1" outlineLevel="1" x14ac:dyDescent="0.25">
      <c r="A118" s="596"/>
      <c r="B118" s="1454" t="str">
        <f>IF(Spells!H92="","",Spells!H92)</f>
        <v/>
      </c>
      <c r="C118" s="1335"/>
      <c r="D118" s="1334"/>
      <c r="E118" s="1455"/>
      <c r="F118" s="1455"/>
      <c r="G118" s="1455"/>
      <c r="H118" s="1459"/>
      <c r="I118" s="1457"/>
      <c r="J118" s="130"/>
      <c r="K118" s="1428" t="str">
        <f>IF(Spells!H140="","",Spells!H140)</f>
        <v/>
      </c>
      <c r="L118" s="1439"/>
      <c r="M118" s="1429"/>
      <c r="N118" s="1429"/>
      <c r="O118" s="1429"/>
      <c r="P118" s="1430"/>
      <c r="Q118" s="1430"/>
      <c r="R118" s="1431"/>
      <c r="S118" s="1432"/>
      <c r="T118" s="1438"/>
      <c r="U118" s="1439"/>
      <c r="V118" s="1434"/>
      <c r="W118" s="1434"/>
      <c r="X118" s="1434"/>
      <c r="Y118" s="1434"/>
      <c r="Z118" s="1434"/>
      <c r="AA118" s="1435"/>
      <c r="AB118" s="838"/>
      <c r="AC118" s="637"/>
    </row>
    <row r="119" spans="1:29" s="627" customFormat="1" ht="19.5" hidden="1" customHeight="1" outlineLevel="1" x14ac:dyDescent="0.25">
      <c r="A119" s="596"/>
      <c r="B119" s="1458" t="str">
        <f>IF(Spells!H94="","","["&amp;Spells!H94&amp;"] "&amp;Spells!H95&amp;" ["&amp;Spells!H97&amp;"]")</f>
        <v/>
      </c>
      <c r="C119" s="1335"/>
      <c r="D119" s="1334"/>
      <c r="E119" s="1455"/>
      <c r="F119" s="1455"/>
      <c r="G119" s="1455"/>
      <c r="H119" s="1459"/>
      <c r="I119" s="1457"/>
      <c r="J119" s="130"/>
      <c r="K119" s="1437" t="str">
        <f>IF(Spells!H142="","","["&amp;Spells!H142&amp;"] "&amp;Spells!H143&amp;" ["&amp;Spells!H145&amp;"]")</f>
        <v/>
      </c>
      <c r="L119" s="1439"/>
      <c r="M119" s="1429"/>
      <c r="N119" s="1429"/>
      <c r="O119" s="1429"/>
      <c r="P119" s="1430"/>
      <c r="Q119" s="1430"/>
      <c r="R119" s="1431"/>
      <c r="S119" s="1432"/>
      <c r="T119" s="1438"/>
      <c r="U119" s="1439"/>
      <c r="V119" s="1434"/>
      <c r="W119" s="1434"/>
      <c r="X119" s="1434"/>
      <c r="Y119" s="1434"/>
      <c r="Z119" s="1434"/>
      <c r="AA119" s="1435"/>
      <c r="AB119" s="838"/>
      <c r="AC119" s="637"/>
    </row>
    <row r="120" spans="1:29" s="627" customFormat="1" ht="19.5" hidden="1" customHeight="1" outlineLevel="1" x14ac:dyDescent="0.25">
      <c r="A120" s="596"/>
      <c r="B120" s="1461" t="str">
        <f>IF(Spells!H96="","",Spells!H96)</f>
        <v/>
      </c>
      <c r="C120" s="1338"/>
      <c r="D120" s="1462"/>
      <c r="E120" s="1463"/>
      <c r="F120" s="1463"/>
      <c r="G120" s="1463"/>
      <c r="H120" s="1464"/>
      <c r="I120" s="1465"/>
      <c r="J120" s="130"/>
      <c r="K120" s="1428" t="str">
        <f>IF(Spells!H144="","",Spells!H144)</f>
        <v/>
      </c>
      <c r="L120" s="1439"/>
      <c r="M120" s="1429"/>
      <c r="N120" s="1429"/>
      <c r="O120" s="1429"/>
      <c r="P120" s="1430"/>
      <c r="Q120" s="1430"/>
      <c r="R120" s="1431"/>
      <c r="S120" s="1432"/>
      <c r="T120" s="1438"/>
      <c r="U120" s="1439"/>
      <c r="V120" s="1434"/>
      <c r="W120" s="1434"/>
      <c r="X120" s="1434"/>
      <c r="Y120" s="1434"/>
      <c r="Z120" s="1434"/>
      <c r="AA120" s="1435"/>
      <c r="AB120" s="838"/>
      <c r="AC120" s="637"/>
    </row>
    <row r="121" spans="1:29" s="627" customFormat="1" ht="19.5" hidden="1" customHeight="1" outlineLevel="1" x14ac:dyDescent="0.25">
      <c r="A121" s="596"/>
      <c r="C121" s="838"/>
      <c r="D121" s="130"/>
      <c r="E121" s="130"/>
      <c r="F121" s="130"/>
      <c r="G121" s="130"/>
      <c r="H121" s="130"/>
      <c r="I121" s="130"/>
      <c r="J121" s="130"/>
      <c r="K121" s="1437" t="str">
        <f>IF(Spells!H146="","","["&amp;Spells!H146&amp;"] "&amp;Spells!H147&amp;" ["&amp;Spells!H149&amp;"]")</f>
        <v/>
      </c>
      <c r="L121" s="1439"/>
      <c r="M121" s="1434"/>
      <c r="N121" s="1434"/>
      <c r="O121" s="1434"/>
      <c r="P121" s="1434"/>
      <c r="Q121" s="1434"/>
      <c r="R121" s="1435"/>
      <c r="S121" s="1432"/>
      <c r="T121" s="1438"/>
      <c r="U121" s="1439"/>
      <c r="V121" s="1434"/>
      <c r="W121" s="1434"/>
      <c r="X121" s="1434"/>
      <c r="Y121" s="1434"/>
      <c r="Z121" s="1434"/>
      <c r="AA121" s="1435"/>
      <c r="AB121" s="838"/>
      <c r="AC121" s="637"/>
    </row>
    <row r="122" spans="1:29" s="627" customFormat="1" ht="19.5" hidden="1" customHeight="1" outlineLevel="1" x14ac:dyDescent="0.25">
      <c r="A122" s="596"/>
      <c r="B122" s="676" t="s">
        <v>558</v>
      </c>
      <c r="C122" s="457"/>
      <c r="D122" s="496"/>
      <c r="E122" s="457"/>
      <c r="F122" s="456"/>
      <c r="G122" s="496"/>
      <c r="H122" s="495"/>
      <c r="I122" s="456"/>
      <c r="J122" s="130"/>
      <c r="K122" s="1428" t="str">
        <f>IF(Spells!H148="","",Spells!H148)</f>
        <v/>
      </c>
      <c r="L122" s="1439"/>
      <c r="M122" s="1434"/>
      <c r="N122" s="1434"/>
      <c r="O122" s="1434"/>
      <c r="P122" s="1434"/>
      <c r="Q122" s="1434"/>
      <c r="R122" s="1435"/>
      <c r="S122" s="1432"/>
      <c r="T122" s="1438"/>
      <c r="U122" s="1439"/>
      <c r="V122" s="1434"/>
      <c r="W122" s="1434"/>
      <c r="X122" s="1434"/>
      <c r="Y122" s="1434"/>
      <c r="Z122" s="1434"/>
      <c r="AA122" s="1435"/>
      <c r="AB122" s="838"/>
      <c r="AC122" s="637"/>
    </row>
    <row r="123" spans="1:29" s="627" customFormat="1" ht="19.5" hidden="1" customHeight="1" outlineLevel="1" x14ac:dyDescent="0.25">
      <c r="A123" s="596"/>
      <c r="B123" s="1482" t="str">
        <f>IF(Spells!H37="","","["&amp;Spells!H37&amp;"] "&amp;Spells!H38&amp;" ["&amp;Spells!H40&amp;"]")</f>
        <v/>
      </c>
      <c r="C123" s="1466"/>
      <c r="D123" s="706"/>
      <c r="E123" s="706"/>
      <c r="F123" s="706"/>
      <c r="G123" s="706"/>
      <c r="H123" s="1483"/>
      <c r="I123" s="708"/>
      <c r="J123" s="130"/>
      <c r="K123" s="1437" t="str">
        <f>IF(Spells!H150="","","["&amp;Spells!H150&amp;"] "&amp;Spells!H151&amp;" ["&amp;Spells!H153&amp;"]")</f>
        <v/>
      </c>
      <c r="L123" s="1439"/>
      <c r="M123" s="1434"/>
      <c r="N123" s="1434"/>
      <c r="O123" s="1434"/>
      <c r="P123" s="1434"/>
      <c r="Q123" s="1434"/>
      <c r="R123" s="1435"/>
      <c r="S123" s="1432"/>
      <c r="T123" s="1438"/>
      <c r="U123" s="1439"/>
      <c r="V123" s="1434"/>
      <c r="W123" s="1434"/>
      <c r="X123" s="1434"/>
      <c r="Y123" s="1434"/>
      <c r="Z123" s="1434"/>
      <c r="AA123" s="1435"/>
      <c r="AB123" s="838"/>
      <c r="AC123" s="637"/>
    </row>
    <row r="124" spans="1:29" s="627" customFormat="1" ht="19.5" hidden="1" customHeight="1" outlineLevel="1" x14ac:dyDescent="0.25">
      <c r="A124" s="596"/>
      <c r="B124" s="1484" t="str">
        <f>IF(Spells!H39="","",Spells!H39)</f>
        <v/>
      </c>
      <c r="C124" s="1485"/>
      <c r="D124" s="1485"/>
      <c r="E124" s="1485"/>
      <c r="F124" s="1485"/>
      <c r="G124" s="1485"/>
      <c r="H124" s="1486"/>
      <c r="I124" s="1487"/>
      <c r="J124" s="130"/>
      <c r="K124" s="1447" t="str">
        <f>IF(Spells!H152="","",Spells!H152)</f>
        <v/>
      </c>
      <c r="L124" s="1439"/>
      <c r="M124" s="1434"/>
      <c r="N124" s="1434"/>
      <c r="O124" s="1434"/>
      <c r="P124" s="1434"/>
      <c r="Q124" s="1434"/>
      <c r="R124" s="1435"/>
      <c r="S124" s="1432"/>
      <c r="T124" s="1438"/>
      <c r="U124" s="1439"/>
      <c r="V124" s="1434"/>
      <c r="W124" s="1434"/>
      <c r="X124" s="1434"/>
      <c r="Y124" s="1434"/>
      <c r="Z124" s="1434"/>
      <c r="AA124" s="1435"/>
      <c r="AB124" s="838"/>
      <c r="AC124" s="637"/>
    </row>
    <row r="125" spans="1:29" s="627" customFormat="1" ht="19.5" hidden="1" customHeight="1" outlineLevel="1" x14ac:dyDescent="0.25">
      <c r="A125" s="596"/>
      <c r="B125" s="1488" t="str">
        <f>IF(Spells!H41="","","["&amp;Spells!H41&amp;"] "&amp;Spells!H42&amp;" ["&amp;Spells!H44&amp;"]")</f>
        <v/>
      </c>
      <c r="C125" s="1485"/>
      <c r="D125" s="1485"/>
      <c r="E125" s="1485"/>
      <c r="F125" s="1485"/>
      <c r="G125" s="1485"/>
      <c r="H125" s="1489"/>
      <c r="I125" s="1487"/>
      <c r="J125" s="130"/>
      <c r="K125" s="1437" t="str">
        <f>IF(Spells!H154="","","["&amp;Spells!H154&amp;"] "&amp;Spells!H155&amp;" ["&amp;Spells!H157&amp;"]")</f>
        <v/>
      </c>
      <c r="L125" s="1439"/>
      <c r="M125" s="1434"/>
      <c r="N125" s="1434"/>
      <c r="O125" s="1434"/>
      <c r="P125" s="1434"/>
      <c r="Q125" s="1434"/>
      <c r="R125" s="1435"/>
      <c r="S125" s="1432"/>
      <c r="T125" s="1438"/>
      <c r="U125" s="1439"/>
      <c r="V125" s="1434"/>
      <c r="W125" s="1434"/>
      <c r="X125" s="1434"/>
      <c r="Y125" s="1434"/>
      <c r="Z125" s="1434"/>
      <c r="AA125" s="1435"/>
      <c r="AB125" s="838"/>
      <c r="AC125" s="637"/>
    </row>
    <row r="126" spans="1:29" s="627" customFormat="1" ht="19.5" hidden="1" customHeight="1" outlineLevel="1" x14ac:dyDescent="0.25">
      <c r="A126" s="596"/>
      <c r="B126" s="1490" t="str">
        <f>IF(Spells!H43="","",Spells!H43)</f>
        <v/>
      </c>
      <c r="C126" s="711"/>
      <c r="D126" s="711"/>
      <c r="E126" s="711"/>
      <c r="F126" s="711"/>
      <c r="G126" s="711"/>
      <c r="H126" s="1420"/>
      <c r="I126" s="713"/>
      <c r="J126" s="130"/>
      <c r="K126" s="1447" t="str">
        <f>IF(Spells!H156="","",Spells!H156)</f>
        <v/>
      </c>
      <c r="L126" s="1439"/>
      <c r="M126" s="1434"/>
      <c r="N126" s="1434"/>
      <c r="O126" s="1434"/>
      <c r="P126" s="1434"/>
      <c r="Q126" s="1434"/>
      <c r="R126" s="1435"/>
      <c r="S126" s="1432"/>
      <c r="T126" s="1438"/>
      <c r="U126" s="1439"/>
      <c r="V126" s="1434"/>
      <c r="W126" s="1434"/>
      <c r="X126" s="1434"/>
      <c r="Y126" s="1434"/>
      <c r="Z126" s="1434"/>
      <c r="AA126" s="1435"/>
      <c r="AB126" s="838"/>
      <c r="AC126" s="637"/>
    </row>
    <row r="127" spans="1:29" s="627" customFormat="1" ht="19.5" hidden="1" customHeight="1" outlineLevel="1" x14ac:dyDescent="0.25">
      <c r="A127" s="596"/>
      <c r="C127" s="838"/>
      <c r="D127" s="130"/>
      <c r="E127" s="130"/>
      <c r="F127" s="130"/>
      <c r="G127" s="130"/>
      <c r="H127" s="130"/>
      <c r="I127" s="130"/>
      <c r="J127" s="130"/>
      <c r="K127" s="1437" t="str">
        <f>IF(Spells!H158="","","["&amp;Spells!H158&amp;"] "&amp;Spells!H159&amp;" ["&amp;Spells!H161&amp;"]")</f>
        <v/>
      </c>
      <c r="L127" s="1439"/>
      <c r="M127" s="1434"/>
      <c r="N127" s="1434"/>
      <c r="O127" s="1434"/>
      <c r="P127" s="1434"/>
      <c r="Q127" s="1434"/>
      <c r="R127" s="1435"/>
      <c r="S127" s="1432"/>
      <c r="T127" s="1438"/>
      <c r="U127" s="1439"/>
      <c r="V127" s="1434"/>
      <c r="W127" s="1434"/>
      <c r="X127" s="1434"/>
      <c r="Y127" s="1434"/>
      <c r="Z127" s="1434"/>
      <c r="AA127" s="1435"/>
      <c r="AB127" s="838"/>
      <c r="AC127" s="637"/>
    </row>
    <row r="128" spans="1:29" s="627" customFormat="1" ht="19.5" hidden="1" customHeight="1" outlineLevel="1" x14ac:dyDescent="0.25">
      <c r="A128" s="596"/>
      <c r="B128" s="495" t="s">
        <v>164</v>
      </c>
      <c r="C128" s="457"/>
      <c r="D128" s="495" t="s">
        <v>560</v>
      </c>
      <c r="E128" s="130"/>
      <c r="F128" s="130"/>
      <c r="G128" s="130"/>
      <c r="H128" s="130"/>
      <c r="I128" s="130"/>
      <c r="J128" s="130"/>
      <c r="K128" s="1447" t="str">
        <f>IF(Spells!H160="","",Spells!H160)</f>
        <v/>
      </c>
      <c r="L128" s="1439"/>
      <c r="M128" s="1434"/>
      <c r="N128" s="1434"/>
      <c r="O128" s="1434"/>
      <c r="P128" s="1434"/>
      <c r="Q128" s="1434"/>
      <c r="R128" s="1435"/>
      <c r="S128" s="1432"/>
      <c r="T128" s="1438"/>
      <c r="U128" s="1439"/>
      <c r="V128" s="1434"/>
      <c r="W128" s="1434"/>
      <c r="X128" s="1434"/>
      <c r="Y128" s="1434"/>
      <c r="Z128" s="1434"/>
      <c r="AA128" s="1435"/>
      <c r="AB128" s="838"/>
      <c r="AC128" s="637"/>
    </row>
    <row r="129" spans="1:29" s="627" customFormat="1" ht="19.5" hidden="1" customHeight="1" outlineLevel="1" x14ac:dyDescent="0.3">
      <c r="A129" s="596"/>
      <c r="B129" s="770" t="str">
        <f>IF(Spells!H45="","",Spells!H45)</f>
        <v/>
      </c>
      <c r="C129" s="130"/>
      <c r="D129" s="497"/>
      <c r="E129" s="130"/>
      <c r="F129" s="130"/>
      <c r="G129" s="130"/>
      <c r="H129" s="130"/>
      <c r="I129" s="130"/>
      <c r="J129" s="130"/>
      <c r="K129" s="1437" t="str">
        <f>IF(Spells!H162="","","["&amp;Spells!H162&amp;"] "&amp;Spells!H163&amp;" ["&amp;Spells!H165&amp;"]")</f>
        <v/>
      </c>
      <c r="L129" s="1439"/>
      <c r="M129" s="1434"/>
      <c r="N129" s="1434"/>
      <c r="O129" s="1434"/>
      <c r="P129" s="1434"/>
      <c r="Q129" s="1434"/>
      <c r="R129" s="1435"/>
      <c r="S129" s="1432"/>
      <c r="T129" s="1438"/>
      <c r="U129" s="1439"/>
      <c r="V129" s="1434"/>
      <c r="W129" s="1434"/>
      <c r="X129" s="1434"/>
      <c r="Y129" s="1434"/>
      <c r="Z129" s="1434"/>
      <c r="AA129" s="1435"/>
      <c r="AB129" s="838"/>
      <c r="AC129" s="637"/>
    </row>
    <row r="130" spans="1:29" s="627" customFormat="1" ht="19.5" hidden="1" customHeight="1" outlineLevel="1" x14ac:dyDescent="0.25">
      <c r="A130" s="596"/>
      <c r="B130" s="676" t="s">
        <v>559</v>
      </c>
      <c r="C130" s="457"/>
      <c r="D130" s="496"/>
      <c r="E130" s="457"/>
      <c r="F130" s="456"/>
      <c r="G130" s="496"/>
      <c r="H130" s="495"/>
      <c r="I130" s="456"/>
      <c r="J130" s="130"/>
      <c r="K130" s="1447" t="str">
        <f>IF(Spells!H164="","",Spells!H164)</f>
        <v/>
      </c>
      <c r="L130" s="1439"/>
      <c r="M130" s="1434"/>
      <c r="N130" s="1434"/>
      <c r="O130" s="1434"/>
      <c r="P130" s="1434"/>
      <c r="Q130" s="1434"/>
      <c r="R130" s="1435"/>
      <c r="S130" s="1432"/>
      <c r="T130" s="1438"/>
      <c r="U130" s="1439"/>
      <c r="V130" s="1434"/>
      <c r="W130" s="1434"/>
      <c r="X130" s="1434"/>
      <c r="Y130" s="1434"/>
      <c r="Z130" s="1434"/>
      <c r="AA130" s="1435"/>
      <c r="AB130" s="838"/>
      <c r="AC130" s="637"/>
    </row>
    <row r="131" spans="1:29" s="627" customFormat="1" ht="19.5" hidden="1" customHeight="1" outlineLevel="1" x14ac:dyDescent="0.25">
      <c r="A131" s="596"/>
      <c r="B131" s="1467" t="str">
        <f>IF(Spells!H46="","","["&amp;Spells!H46&amp;"] "&amp;Spells!H47&amp;" ["&amp;Spells!H49&amp;"]")</f>
        <v/>
      </c>
      <c r="C131" s="1468"/>
      <c r="D131" s="1469"/>
      <c r="E131" s="1470"/>
      <c r="F131" s="1470"/>
      <c r="G131" s="1470"/>
      <c r="H131" s="1470"/>
      <c r="I131" s="1471"/>
      <c r="J131" s="130"/>
      <c r="K131" s="1437" t="str">
        <f>IF(Spells!H166="","","["&amp;Spells!H166&amp;"] "&amp;Spells!H167&amp;" ["&amp;Spells!H169&amp;"]")</f>
        <v/>
      </c>
      <c r="L131" s="1439"/>
      <c r="M131" s="1434"/>
      <c r="N131" s="1434"/>
      <c r="O131" s="1434"/>
      <c r="P131" s="1434"/>
      <c r="Q131" s="1434"/>
      <c r="R131" s="1435"/>
      <c r="S131" s="1432"/>
      <c r="T131" s="1438"/>
      <c r="U131" s="1439"/>
      <c r="V131" s="1434"/>
      <c r="W131" s="1434"/>
      <c r="X131" s="1434"/>
      <c r="Y131" s="1434"/>
      <c r="Z131" s="1434"/>
      <c r="AA131" s="1435"/>
      <c r="AB131" s="838"/>
      <c r="AC131" s="637"/>
    </row>
    <row r="132" spans="1:29" s="627" customFormat="1" ht="19.5" hidden="1" customHeight="1" outlineLevel="1" x14ac:dyDescent="0.25">
      <c r="A132" s="596"/>
      <c r="B132" s="1472" t="str">
        <f>IF(Spells!H48="","",Spells!H48)</f>
        <v/>
      </c>
      <c r="C132" s="1473"/>
      <c r="D132" s="1474"/>
      <c r="E132" s="1474"/>
      <c r="F132" s="1474"/>
      <c r="G132" s="1474"/>
      <c r="H132" s="1473"/>
      <c r="I132" s="1475"/>
      <c r="J132" s="130"/>
      <c r="K132" s="1447" t="str">
        <f>IF(Spells!H168="","",Spells!H168)</f>
        <v/>
      </c>
      <c r="L132" s="1439"/>
      <c r="M132" s="1434"/>
      <c r="N132" s="1434"/>
      <c r="O132" s="1434"/>
      <c r="P132" s="1434"/>
      <c r="Q132" s="1434"/>
      <c r="R132" s="1435"/>
      <c r="S132" s="1432"/>
      <c r="T132" s="1438"/>
      <c r="U132" s="1439"/>
      <c r="V132" s="1434"/>
      <c r="W132" s="1434"/>
      <c r="X132" s="1434"/>
      <c r="Y132" s="1434"/>
      <c r="Z132" s="1434"/>
      <c r="AA132" s="1435"/>
      <c r="AB132" s="838"/>
      <c r="AC132" s="637"/>
    </row>
    <row r="133" spans="1:29" s="627" customFormat="1" ht="19.5" hidden="1" customHeight="1" outlineLevel="1" x14ac:dyDescent="0.25">
      <c r="A133" s="596"/>
      <c r="B133" s="1476" t="str">
        <f>IF(Spells!H50="","","["&amp;Spells!H50&amp;"] "&amp;Spells!H51&amp;" ["&amp;Spells!H53&amp;"]")</f>
        <v/>
      </c>
      <c r="C133" s="1477"/>
      <c r="D133" s="1474"/>
      <c r="E133" s="1474"/>
      <c r="F133" s="1474"/>
      <c r="G133" s="1474"/>
      <c r="H133" s="1474"/>
      <c r="I133" s="1475"/>
      <c r="J133" s="130"/>
      <c r="K133" s="1437" t="str">
        <f>IF(Spells!H170="","","["&amp;Spells!H170&amp;"] "&amp;Spells!H171&amp;" ["&amp;Spells!H173&amp;"]")</f>
        <v/>
      </c>
      <c r="L133" s="1439"/>
      <c r="M133" s="1434"/>
      <c r="N133" s="1434"/>
      <c r="O133" s="1434"/>
      <c r="P133" s="1434"/>
      <c r="Q133" s="1434"/>
      <c r="R133" s="1435"/>
      <c r="S133" s="1432"/>
      <c r="T133" s="1438"/>
      <c r="U133" s="1439"/>
      <c r="V133" s="1434"/>
      <c r="W133" s="1434"/>
      <c r="X133" s="1434"/>
      <c r="Y133" s="1434"/>
      <c r="Z133" s="1434"/>
      <c r="AA133" s="1435"/>
      <c r="AB133" s="838"/>
      <c r="AC133" s="637"/>
    </row>
    <row r="134" spans="1:29" s="627" customFormat="1" ht="19.5" hidden="1" customHeight="1" outlineLevel="1" x14ac:dyDescent="0.25">
      <c r="A134" s="596"/>
      <c r="B134" s="1478" t="str">
        <f>IF(Spells!H52="","",Spells!H52)</f>
        <v/>
      </c>
      <c r="C134" s="1479"/>
      <c r="D134" s="1480"/>
      <c r="E134" s="1480"/>
      <c r="F134" s="1480"/>
      <c r="G134" s="1480"/>
      <c r="H134" s="1479"/>
      <c r="I134" s="1481"/>
      <c r="J134" s="130"/>
      <c r="K134" s="1448" t="str">
        <f>IF(Spells!H172="","",Spells!H172)</f>
        <v/>
      </c>
      <c r="L134" s="1442"/>
      <c r="M134" s="1443"/>
      <c r="N134" s="1443"/>
      <c r="O134" s="1443"/>
      <c r="P134" s="1443"/>
      <c r="Q134" s="1443"/>
      <c r="R134" s="1444"/>
      <c r="S134" s="1432"/>
      <c r="T134" s="1445"/>
      <c r="U134" s="1442"/>
      <c r="V134" s="1443"/>
      <c r="W134" s="1443"/>
      <c r="X134" s="1443"/>
      <c r="Y134" s="1443"/>
      <c r="Z134" s="1443"/>
      <c r="AA134" s="1444"/>
      <c r="AB134" s="838"/>
      <c r="AC134" s="637"/>
    </row>
    <row r="135" spans="1:29" s="627" customFormat="1" ht="19.5" hidden="1" customHeight="1" outlineLevel="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s="627" customFormat="1" ht="19.5" customHeight="1" collapsed="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640"/>
      <c r="T137" s="640"/>
      <c r="U137" s="640"/>
      <c r="V137" s="640"/>
      <c r="W137" s="675"/>
      <c r="X137" s="675"/>
      <c r="Y137" s="675"/>
      <c r="Z137" s="640"/>
      <c r="AA137" s="640"/>
      <c r="AB137" s="640"/>
      <c r="AC137" s="649"/>
    </row>
    <row r="138" spans="1:29" ht="19.5" customHeight="1" x14ac:dyDescent="0.25">
      <c r="A138" s="656"/>
      <c r="B138" s="689" t="s">
        <v>517</v>
      </c>
      <c r="C138" s="690"/>
      <c r="D138" s="690"/>
      <c r="E138" s="690"/>
      <c r="F138" s="691" t="s">
        <v>518</v>
      </c>
      <c r="G138" s="690"/>
      <c r="H138" s="690"/>
      <c r="I138" s="1491"/>
      <c r="J138" s="454"/>
      <c r="K138" s="1494" t="str">
        <f>IF(Création!H12="","",Création!H12)</f>
        <v>Common</v>
      </c>
      <c r="L138" s="1495"/>
      <c r="M138" s="1495"/>
      <c r="N138" s="1496"/>
      <c r="O138" s="454"/>
      <c r="P138" s="454"/>
      <c r="Q138" s="454"/>
      <c r="R138" s="454"/>
      <c r="S138" s="490"/>
      <c r="T138" s="490"/>
      <c r="U138" s="490"/>
      <c r="V138" s="490"/>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Création!H5</f>
        <v>M</v>
      </c>
      <c r="I139" s="1492"/>
      <c r="J139" s="454"/>
      <c r="K139" s="1497" t="str">
        <f>IF(Création!H13="","",Création!H13)</f>
        <v>Draconic</v>
      </c>
      <c r="L139" s="1498"/>
      <c r="M139" s="1498"/>
      <c r="N139" s="1499"/>
      <c r="O139" s="454"/>
      <c r="P139" s="454"/>
      <c r="Q139" s="454"/>
      <c r="R139" s="454"/>
      <c r="S139" s="490"/>
      <c r="T139" s="490"/>
      <c r="U139" s="490"/>
      <c r="V139" s="490"/>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IF(Création!H14="","",Création!H14)</f>
        <v/>
      </c>
      <c r="L140" s="1498"/>
      <c r="M140" s="1498"/>
      <c r="N140" s="1499"/>
      <c r="O140" s="454"/>
      <c r="P140" s="454"/>
      <c r="Q140" s="454"/>
      <c r="R140" s="454"/>
      <c r="S140" s="490"/>
      <c r="T140" s="490"/>
      <c r="U140" s="490"/>
      <c r="V140" s="490"/>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IF(Création!H15="","",Création!H15)</f>
        <v/>
      </c>
      <c r="L141" s="1498"/>
      <c r="M141" s="1498"/>
      <c r="N141" s="1499"/>
      <c r="O141" s="454"/>
      <c r="P141" s="454"/>
      <c r="Q141" s="454"/>
      <c r="R141" s="454"/>
      <c r="S141" s="490"/>
      <c r="T141" s="490"/>
      <c r="U141" s="490"/>
      <c r="V141" s="490"/>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IF(Création!H16="","",Création!H16)</f>
        <v/>
      </c>
      <c r="L142" s="1498"/>
      <c r="M142" s="1498"/>
      <c r="N142" s="1499"/>
      <c r="O142" s="454"/>
      <c r="P142" s="454"/>
      <c r="Q142" s="454"/>
      <c r="R142" s="454"/>
      <c r="S142" s="490"/>
      <c r="T142" s="490"/>
      <c r="U142" s="490"/>
      <c r="V142" s="490"/>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IF(Création!H17="","",Création!H17)</f>
        <v/>
      </c>
      <c r="L143" s="1501"/>
      <c r="M143" s="1501"/>
      <c r="N143" s="1502"/>
      <c r="O143" s="454"/>
      <c r="P143" s="454"/>
      <c r="Q143" s="454"/>
      <c r="R143" s="454"/>
      <c r="S143" s="490"/>
      <c r="T143" s="490"/>
      <c r="U143" s="490"/>
      <c r="V143" s="490"/>
      <c r="W143" s="454"/>
      <c r="X143" s="454"/>
      <c r="Y143" s="454"/>
      <c r="Z143" s="454"/>
      <c r="AA143" s="454"/>
      <c r="AB143" s="454"/>
      <c r="AC143" s="637"/>
    </row>
    <row r="144" spans="1:29" s="627" customFormat="1" ht="18.75"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04"/>
      <c r="T144" s="1004"/>
      <c r="U144" s="1004"/>
      <c r="V144" s="1004"/>
      <c r="W144" s="454"/>
      <c r="X144" s="454"/>
      <c r="Y144" s="454"/>
      <c r="Z144" s="454"/>
      <c r="AA144" s="454"/>
      <c r="AB144" s="454"/>
      <c r="AC144" s="637"/>
    </row>
    <row r="145" spans="1:29" s="627" customFormat="1" ht="69" customHeight="1" x14ac:dyDescent="0.25">
      <c r="A145" s="656"/>
      <c r="B145" s="1547" t="str">
        <f>'Equipment Combat'!H533</f>
        <v xml:space="preserve"> Left in the protected room near the portal under the citadel: +1 Chain Shirt, +1 Hide Armor
Chain Shirt *5, Hide armor *3, Studded leather *5, Leather armor *2, +1 War Flail, +1 Hatchet
Dagger *2, Composite shortbow *3, Longsword *5, Shortbow *4, Sling *2, Whip *3, Sickle *3
Javelin *6, Club *4, Arrow *30, Lesser Comprehension elixir, Voz papers</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Création!H37</f>
        <v xml:space="preserve">  </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8.75" hidden="1" outlineLevel="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5" hidden="1" outlineLevel="1" x14ac:dyDescent="0.25">
      <c r="A149" s="656"/>
      <c r="B149" s="1410" t="str">
        <f>IF(Minions!G87="","",Minions!G87)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5" hidden="1" outlineLevel="1" x14ac:dyDescent="0.25">
      <c r="A150" s="656"/>
      <c r="B150" s="1414" t="str">
        <f>IF(Minions!G88="","",Minions!G88)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5" hidden="1" outlineLevel="1" x14ac:dyDescent="0.25">
      <c r="A151" s="656"/>
      <c r="B151" s="1414" t="str">
        <f>IF(Minions!G89="","",Minions!G89)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5" hidden="1" outlineLevel="1" x14ac:dyDescent="0.25">
      <c r="A152" s="656"/>
      <c r="B152" s="1414" t="str">
        <f>IF(Minions!G90="","",Minions!G90)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IF(Minions!G91="","",Minions!G91)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5.75"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O23:P23"/>
    <mergeCell ref="R62:W62"/>
    <mergeCell ref="I7:J7"/>
    <mergeCell ref="K7:L7"/>
    <mergeCell ref="M7:N7"/>
    <mergeCell ref="O17:Q17"/>
    <mergeCell ref="S9:U9"/>
    <mergeCell ref="B147:AB147"/>
    <mergeCell ref="G24:H24"/>
    <mergeCell ref="J9:K9"/>
    <mergeCell ref="E18:F18"/>
    <mergeCell ref="O18:P18"/>
    <mergeCell ref="E19:F19"/>
    <mergeCell ref="O19:P19"/>
    <mergeCell ref="E20:F20"/>
    <mergeCell ref="O20:P20"/>
    <mergeCell ref="E21:F21"/>
    <mergeCell ref="O21:P21"/>
    <mergeCell ref="E22:F22"/>
    <mergeCell ref="X62:AB62"/>
    <mergeCell ref="O22:P22"/>
    <mergeCell ref="E23:F23"/>
    <mergeCell ref="B145:AB145"/>
  </mergeCells>
  <conditionalFormatting sqref="R62:W62">
    <cfRule type="containsText" dxfId="9" priority="3" operator="containsText" text="Cannot">
      <formula>NOT(ISERROR(SEARCH("Cannot",R62)))</formula>
    </cfRule>
    <cfRule type="containsText" dxfId="8" priority="4" operator="containsText" text="Encumbered">
      <formula>NOT(ISERROR(SEARCH("Encumbered",R62)))</formula>
    </cfRule>
    <cfRule type="containsText" dxfId="7" priority="5" operator="containsText" text="Fine">
      <formula>NOT(ISERROR(SEARCH("Fine",R62)))</formula>
    </cfRule>
  </conditionalFormatting>
  <conditionalFormatting sqref="X62">
    <cfRule type="containsText" dxfId="6" priority="1" operator="containsText" text="Overloaded">
      <formula>NOT(ISERROR(SEARCH("Overloaded",X62)))</formula>
    </cfRule>
    <cfRule type="containsText" dxfId="5" priority="2" operator="containsText" text="OK">
      <formula>NOT(ISERROR(SEARCH("OK",X62)))</formula>
    </cfRule>
  </conditionalFormatting>
  <hyperlinks>
    <hyperlink ref="D1" r:id="rId1" location="id=2535463" xr:uid="{F0EDB57D-3C52-474E-AC5A-9D8969F97723}"/>
  </hyperlinks>
  <pageMargins left="0.25" right="0.25" top="0.75" bottom="0.75" header="0.3" footer="0.3"/>
  <pageSetup paperSize="9" scale="69" orientation="portrait" horizontalDpi="360" verticalDpi="36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86E6-36A9-4BF3-A860-99EEA2E4F636}">
  <sheetPr>
    <pageSetUpPr fitToPage="1"/>
  </sheetPr>
  <dimension ref="A1:AC160"/>
  <sheetViews>
    <sheetView showGridLines="0" workbookViewId="0">
      <pane ySplit="2" topLeftCell="A3" activePane="bottomLeft" state="frozen"/>
      <selection activeCell="T8" sqref="T8"/>
      <selection pane="bottomLeft" activeCell="AG10" sqref="AG10"/>
    </sheetView>
  </sheetViews>
  <sheetFormatPr baseColWidth="10" defaultColWidth="5.7109375" defaultRowHeight="19.5" customHeight="1" outlineLevelRow="1" x14ac:dyDescent="0.25"/>
  <cols>
    <col min="1" max="22" width="5.7109375" style="627"/>
    <col min="23" max="23" width="7.5703125" style="627" bestFit="1" customWidth="1"/>
    <col min="24" max="16384" width="5.7109375" style="627"/>
  </cols>
  <sheetData>
    <row r="1" spans="1:29" ht="19.5" customHeight="1" x14ac:dyDescent="0.25">
      <c r="A1" s="629"/>
      <c r="B1" s="630" t="s">
        <v>487</v>
      </c>
      <c r="C1" s="631"/>
      <c r="D1" s="654" t="s">
        <v>840</v>
      </c>
      <c r="E1" s="631"/>
      <c r="F1" s="631"/>
      <c r="G1" s="630" t="s">
        <v>488</v>
      </c>
      <c r="H1" s="631"/>
      <c r="I1" s="631" t="str">
        <f>Création!I1</f>
        <v>Martin</v>
      </c>
      <c r="J1" s="631"/>
      <c r="K1" s="630"/>
      <c r="L1" s="631"/>
      <c r="M1" s="633"/>
      <c r="N1" s="631"/>
      <c r="O1" s="631"/>
      <c r="P1" s="630" t="s">
        <v>489</v>
      </c>
      <c r="Q1" s="631"/>
      <c r="R1" s="631" t="s">
        <v>421</v>
      </c>
      <c r="S1" s="631"/>
      <c r="T1" s="631"/>
      <c r="U1" s="631"/>
      <c r="V1" s="631"/>
      <c r="W1" s="631"/>
      <c r="X1" s="631"/>
      <c r="Y1" s="631"/>
      <c r="Z1" s="631"/>
      <c r="AA1" s="631"/>
      <c r="AB1" s="634"/>
      <c r="AC1" s="635"/>
    </row>
    <row r="2" spans="1:29" ht="19.5" customHeight="1" x14ac:dyDescent="0.25">
      <c r="A2" s="636"/>
      <c r="B2" s="494" t="s">
        <v>25</v>
      </c>
      <c r="C2" s="498"/>
      <c r="D2" s="498" t="str">
        <f>Création!I3</f>
        <v>Rogue</v>
      </c>
      <c r="E2" s="498"/>
      <c r="F2" s="498"/>
      <c r="G2" s="494" t="s">
        <v>26</v>
      </c>
      <c r="H2" s="498"/>
      <c r="I2" s="498" t="str">
        <f>Création!I6</f>
        <v>Razortooth Goblin</v>
      </c>
      <c r="J2" s="498"/>
      <c r="K2" s="498"/>
      <c r="L2" s="498"/>
      <c r="M2" s="1021"/>
      <c r="N2" s="498"/>
      <c r="O2" s="498"/>
      <c r="P2" s="494" t="s">
        <v>42</v>
      </c>
      <c r="Q2" s="498"/>
      <c r="R2" s="498" t="str">
        <f>Création!I7</f>
        <v>Cook</v>
      </c>
      <c r="S2" s="498"/>
      <c r="T2" s="498"/>
      <c r="U2" s="498"/>
      <c r="V2" s="498"/>
      <c r="W2" s="498"/>
      <c r="X2" s="498"/>
      <c r="Y2" s="498"/>
      <c r="Z2" s="498"/>
      <c r="AA2" s="498"/>
      <c r="AB2" s="437"/>
      <c r="AC2" s="637"/>
    </row>
    <row r="3" spans="1:29" ht="19.5" customHeight="1" x14ac:dyDescent="0.3">
      <c r="A3" s="638"/>
      <c r="B3" s="438" t="s">
        <v>490</v>
      </c>
      <c r="C3" s="439"/>
      <c r="D3" s="440">
        <f>'Dés de vie'!I13</f>
        <v>5</v>
      </c>
      <c r="E3" s="439"/>
      <c r="F3" s="439"/>
      <c r="G3" s="438" t="s">
        <v>205</v>
      </c>
      <c r="H3" s="439"/>
      <c r="I3" s="439" t="str">
        <f>Création!I28</f>
        <v>Small</v>
      </c>
      <c r="J3" s="439"/>
      <c r="K3" s="438" t="s">
        <v>491</v>
      </c>
      <c r="L3" s="439"/>
      <c r="M3" s="439" t="str">
        <f>Création!I9</f>
        <v>Desna</v>
      </c>
      <c r="N3" s="439"/>
      <c r="O3" s="439"/>
      <c r="P3" s="438" t="s">
        <v>159</v>
      </c>
      <c r="Q3" s="439"/>
      <c r="R3" s="439" t="str">
        <f>Création!I8</f>
        <v>CG</v>
      </c>
      <c r="S3" s="439"/>
      <c r="T3" s="439"/>
      <c r="U3" s="439"/>
      <c r="V3" s="441"/>
      <c r="W3" s="441"/>
      <c r="X3" s="441"/>
      <c r="Y3" s="439"/>
      <c r="Z3" s="439"/>
      <c r="AA3" s="439"/>
      <c r="AB3" s="442"/>
      <c r="AC3" s="637"/>
    </row>
    <row r="4" spans="1:29" s="450" customFormat="1" ht="19.5" customHeight="1" x14ac:dyDescent="0.3">
      <c r="A4" s="639"/>
      <c r="B4" s="1022" t="s">
        <v>492</v>
      </c>
      <c r="C4" s="1022"/>
      <c r="D4" s="1022"/>
      <c r="E4" s="1022"/>
      <c r="F4" s="1022"/>
      <c r="G4" s="1022"/>
      <c r="H4" s="1022"/>
      <c r="I4" s="1317" t="s">
        <v>493</v>
      </c>
      <c r="J4" s="1317"/>
      <c r="K4" s="1022"/>
      <c r="L4" s="1022"/>
      <c r="M4" s="641"/>
      <c r="N4" s="641"/>
      <c r="O4" s="641"/>
      <c r="P4" s="1022"/>
      <c r="Q4" s="1022"/>
      <c r="R4" s="1022"/>
      <c r="S4" s="1022"/>
      <c r="T4" s="1022"/>
      <c r="U4" s="1022"/>
      <c r="V4" s="641"/>
      <c r="W4" s="1022" t="s">
        <v>494</v>
      </c>
      <c r="X4" s="1022"/>
      <c r="Y4" s="1022"/>
      <c r="Z4" s="1022"/>
      <c r="AA4" s="1022"/>
      <c r="AB4" s="1022"/>
      <c r="AC4" s="642"/>
    </row>
    <row r="5" spans="1:29" ht="19.5" customHeight="1" x14ac:dyDescent="0.25">
      <c r="A5" s="636"/>
      <c r="B5" s="489" t="s">
        <v>79</v>
      </c>
      <c r="C5" s="489" t="s">
        <v>495</v>
      </c>
      <c r="D5" s="489" t="s">
        <v>496</v>
      </c>
      <c r="E5" s="489" t="s">
        <v>79</v>
      </c>
      <c r="F5" s="489" t="s">
        <v>495</v>
      </c>
      <c r="G5" s="489" t="s">
        <v>496</v>
      </c>
      <c r="H5" s="1021"/>
      <c r="I5" s="782">
        <f>'Dés de vie'!I16</f>
        <v>61</v>
      </c>
      <c r="J5" s="1401"/>
      <c r="K5" s="498"/>
      <c r="L5" s="498"/>
      <c r="M5" s="494"/>
      <c r="N5" s="1021"/>
      <c r="O5" s="1021"/>
      <c r="P5" s="498"/>
      <c r="Q5" s="498"/>
      <c r="R5" s="498"/>
      <c r="S5" s="498"/>
      <c r="T5" s="498"/>
      <c r="U5" s="498"/>
      <c r="V5" s="494"/>
      <c r="W5" s="773" t="s">
        <v>487</v>
      </c>
      <c r="X5" s="773"/>
      <c r="Y5" s="773"/>
      <c r="Z5" s="773"/>
      <c r="AA5" s="439" t="s">
        <v>324</v>
      </c>
      <c r="AB5" s="441"/>
      <c r="AC5" s="637"/>
    </row>
    <row r="6" spans="1:29" ht="19.5" customHeight="1" x14ac:dyDescent="0.3">
      <c r="A6" s="643"/>
      <c r="B6" s="1384" t="s">
        <v>10</v>
      </c>
      <c r="C6" s="1385">
        <f>Stats!I2</f>
        <v>10</v>
      </c>
      <c r="D6" s="1385">
        <f>Stats!I11</f>
        <v>0</v>
      </c>
      <c r="E6" s="1386" t="s">
        <v>11</v>
      </c>
      <c r="F6" s="1385">
        <f>Stats!I3</f>
        <v>19</v>
      </c>
      <c r="G6" s="1387">
        <f>Stats!I12</f>
        <v>4</v>
      </c>
      <c r="H6" s="1021"/>
      <c r="I6" s="1022" t="s">
        <v>497</v>
      </c>
      <c r="J6" s="1021"/>
      <c r="K6" s="1021"/>
      <c r="L6" s="489"/>
      <c r="M6" s="1021" t="s">
        <v>644</v>
      </c>
      <c r="N6" s="489"/>
      <c r="O6" s="1021"/>
      <c r="P6" s="1021"/>
      <c r="Q6" s="489" t="s">
        <v>324</v>
      </c>
      <c r="R6" s="1021"/>
      <c r="S6" s="1021"/>
      <c r="T6" s="489" t="s">
        <v>342</v>
      </c>
      <c r="U6" s="1021"/>
      <c r="V6" s="489" t="s">
        <v>297</v>
      </c>
      <c r="W6" s="1395" t="str">
        <f>Skills!A137</f>
        <v>Simple weapons</v>
      </c>
      <c r="X6" s="1396"/>
      <c r="Y6" s="1396"/>
      <c r="Z6" s="1396"/>
      <c r="AA6" s="731" t="str">
        <f>Skills!I137</f>
        <v>Expert</v>
      </c>
      <c r="AB6" s="1397"/>
      <c r="AC6" s="637"/>
    </row>
    <row r="7" spans="1:29" ht="19.5" customHeight="1" x14ac:dyDescent="0.25">
      <c r="A7" s="643"/>
      <c r="B7" s="1388" t="s">
        <v>8</v>
      </c>
      <c r="C7" s="1389">
        <f>Stats!I4</f>
        <v>16</v>
      </c>
      <c r="D7" s="1389">
        <f>Stats!I13</f>
        <v>3</v>
      </c>
      <c r="E7" s="1368" t="s">
        <v>12</v>
      </c>
      <c r="F7" s="1389">
        <f>Stats!I5</f>
        <v>16</v>
      </c>
      <c r="G7" s="1390">
        <f>Stats!I14</f>
        <v>3</v>
      </c>
      <c r="H7" s="1021"/>
      <c r="I7" s="1552" t="str">
        <f>'Equipment Combat'!I343</f>
        <v>22</v>
      </c>
      <c r="J7" s="1553"/>
      <c r="K7" s="1550" t="s">
        <v>498</v>
      </c>
      <c r="L7" s="1550"/>
      <c r="M7" s="1554" t="str">
        <f>IF('Equipment Combat'!I342="",'Equipment Combat'!I341,CONCATENATE("MIN(",'Equipment Combat'!I341,"/",'Equipment Combat'!I342,")"))</f>
        <v>MIN(4/4)</v>
      </c>
      <c r="N7" s="1554"/>
      <c r="O7" s="1320" t="s">
        <v>499</v>
      </c>
      <c r="P7" s="1320">
        <f>'Equipment Combat'!I340</f>
        <v>7</v>
      </c>
      <c r="Q7" s="774" t="str">
        <f>'Equipment Combat'!I338</f>
        <v>Trained</v>
      </c>
      <c r="R7" s="1320"/>
      <c r="S7" s="1320" t="s">
        <v>499</v>
      </c>
      <c r="T7" s="1320">
        <f>'Equipment Combat'!I335+'Equipment Combat'!I336</f>
        <v>1</v>
      </c>
      <c r="U7" s="775" t="s">
        <v>499</v>
      </c>
      <c r="V7" s="776">
        <f>'Equipment Combat'!I339</f>
        <v>0</v>
      </c>
      <c r="W7" s="1398" t="str">
        <f>Skills!A139</f>
        <v>Martial weapons</v>
      </c>
      <c r="X7" s="737"/>
      <c r="Y7" s="1399"/>
      <c r="Z7" s="1399"/>
      <c r="AA7" s="737" t="str">
        <f>Skills!I139</f>
        <v>Untrained</v>
      </c>
      <c r="AB7" s="1343"/>
      <c r="AC7" s="637"/>
    </row>
    <row r="8" spans="1:29" ht="19.5" customHeight="1" x14ac:dyDescent="0.3">
      <c r="A8" s="643"/>
      <c r="B8" s="1391" t="s">
        <v>13</v>
      </c>
      <c r="C8" s="1392">
        <f>Stats!I6</f>
        <v>8</v>
      </c>
      <c r="D8" s="1392">
        <f>Stats!I15</f>
        <v>-1</v>
      </c>
      <c r="E8" s="1393" t="s">
        <v>14</v>
      </c>
      <c r="F8" s="1392">
        <f>Stats!I7</f>
        <v>16</v>
      </c>
      <c r="G8" s="1394">
        <f>Stats!I16</f>
        <v>3</v>
      </c>
      <c r="H8" s="1021"/>
      <c r="I8" s="1022" t="s">
        <v>84</v>
      </c>
      <c r="J8" s="1021"/>
      <c r="K8" s="1021"/>
      <c r="L8" s="1021"/>
      <c r="M8" s="489" t="s">
        <v>324</v>
      </c>
      <c r="N8" s="1021"/>
      <c r="O8" s="1021"/>
      <c r="P8" s="1021"/>
      <c r="Q8" s="489" t="s">
        <v>79</v>
      </c>
      <c r="R8" s="1021"/>
      <c r="S8" s="1207" t="s">
        <v>979</v>
      </c>
      <c r="T8" s="1189"/>
      <c r="U8" s="1021"/>
      <c r="V8" s="1021"/>
      <c r="W8" s="1398" t="str">
        <f>Skills!A141</f>
        <v>Advanced weapons</v>
      </c>
      <c r="X8" s="737"/>
      <c r="Y8" s="1399"/>
      <c r="Z8" s="1399"/>
      <c r="AA8" s="737" t="str">
        <f>Skills!I141</f>
        <v>Untrained</v>
      </c>
      <c r="AB8" s="1343"/>
      <c r="AC8" s="637"/>
    </row>
    <row r="9" spans="1:29" ht="19.5" customHeight="1" x14ac:dyDescent="0.25">
      <c r="A9" s="643"/>
      <c r="B9" s="1021"/>
      <c r="C9" s="1021"/>
      <c r="D9" s="1021"/>
      <c r="E9" s="1021"/>
      <c r="F9" s="1021"/>
      <c r="G9" s="1021"/>
      <c r="H9" s="1021"/>
      <c r="I9" s="781">
        <f>Skills!I37</f>
        <v>21</v>
      </c>
      <c r="J9" s="1551" t="s">
        <v>498</v>
      </c>
      <c r="K9" s="1551"/>
      <c r="L9" s="777">
        <f>Skills!I206</f>
        <v>7</v>
      </c>
      <c r="M9" s="778" t="str">
        <f>Skills!I163</f>
        <v>Trained</v>
      </c>
      <c r="N9" s="779"/>
      <c r="O9" s="777" t="s">
        <v>499</v>
      </c>
      <c r="P9" s="777">
        <f>Skills!I70</f>
        <v>4</v>
      </c>
      <c r="Q9" s="780" t="str">
        <f>Skills!I71</f>
        <v>DEX</v>
      </c>
      <c r="R9" s="1021"/>
      <c r="S9" s="1562">
        <f>'Status courant'!I6</f>
        <v>1</v>
      </c>
      <c r="T9" s="1563"/>
      <c r="U9" s="1564"/>
      <c r="V9" s="1021"/>
      <c r="W9" s="1398" t="str">
        <f>Skills!A143</f>
        <v>Alchemical bombs</v>
      </c>
      <c r="X9" s="737"/>
      <c r="Y9" s="1399"/>
      <c r="Z9" s="1399"/>
      <c r="AA9" s="737" t="str">
        <f>Skills!I143</f>
        <v>Untrained</v>
      </c>
      <c r="AB9" s="1343"/>
      <c r="AC9" s="637"/>
    </row>
    <row r="10" spans="1:29" ht="19.5" customHeight="1" x14ac:dyDescent="0.3">
      <c r="A10" s="643"/>
      <c r="B10" s="1022" t="s">
        <v>500</v>
      </c>
      <c r="C10" s="1022"/>
      <c r="D10" s="1021"/>
      <c r="E10" s="1021"/>
      <c r="F10" s="1021"/>
      <c r="G10" s="1021"/>
      <c r="H10" s="1021"/>
      <c r="I10" s="1021"/>
      <c r="J10" s="1021"/>
      <c r="K10" s="489"/>
      <c r="L10" s="1021"/>
      <c r="M10" s="1021"/>
      <c r="N10" s="1021"/>
      <c r="O10" s="1021"/>
      <c r="P10" s="1021"/>
      <c r="Q10" s="1021"/>
      <c r="R10" s="1021"/>
      <c r="S10" s="1021"/>
      <c r="T10" s="1021"/>
      <c r="U10" s="1021"/>
      <c r="V10" s="1021"/>
      <c r="W10" s="1398" t="str">
        <f>Skills!A145</f>
        <v>Unarmed attacks</v>
      </c>
      <c r="X10" s="737"/>
      <c r="Y10" s="1399"/>
      <c r="Z10" s="1399"/>
      <c r="AA10" s="737" t="str">
        <f>Skills!I145</f>
        <v>Expert</v>
      </c>
      <c r="AB10" s="1343"/>
      <c r="AC10" s="637"/>
    </row>
    <row r="11" spans="1:29" ht="19.5" customHeight="1" x14ac:dyDescent="0.25">
      <c r="A11" s="643"/>
      <c r="B11" s="1021"/>
      <c r="C11" s="489" t="s">
        <v>7</v>
      </c>
      <c r="D11" s="489"/>
      <c r="E11" s="489" t="s">
        <v>79</v>
      </c>
      <c r="F11" s="489"/>
      <c r="G11" s="489"/>
      <c r="H11" s="489" t="s">
        <v>324</v>
      </c>
      <c r="I11" s="489"/>
      <c r="J11" s="489"/>
      <c r="K11" s="489" t="s">
        <v>342</v>
      </c>
      <c r="L11" s="1021"/>
      <c r="M11" s="1021"/>
      <c r="N11" s="1021"/>
      <c r="O11" s="1021"/>
      <c r="P11" s="1021"/>
      <c r="Q11" s="498" t="s">
        <v>648</v>
      </c>
      <c r="R11" s="1021"/>
      <c r="S11" s="1021"/>
      <c r="T11" s="1021"/>
      <c r="U11" s="1021"/>
      <c r="V11" s="1021"/>
      <c r="W11" s="1398" t="str">
        <f>IF(Skills!I$148="",Skills!A$147,Skills!I$148)</f>
        <v>Rapier, sap, shortbow &amp; shortsword</v>
      </c>
      <c r="X11" s="737"/>
      <c r="Y11" s="1399"/>
      <c r="Z11" s="1399"/>
      <c r="AA11" s="737" t="str">
        <f>Skills!I147</f>
        <v>Expert</v>
      </c>
      <c r="AB11" s="1343"/>
      <c r="AC11" s="637"/>
    </row>
    <row r="12" spans="1:29" ht="19.5" customHeight="1" x14ac:dyDescent="0.3">
      <c r="A12" s="643"/>
      <c r="B12" s="1368" t="s">
        <v>501</v>
      </c>
      <c r="C12" s="1369">
        <f>Skills!I4</f>
        <v>10</v>
      </c>
      <c r="D12" s="1370" t="s">
        <v>502</v>
      </c>
      <c r="E12" s="1371">
        <f>Skills!I45</f>
        <v>3</v>
      </c>
      <c r="F12" s="1370" t="s">
        <v>499</v>
      </c>
      <c r="G12" s="1371">
        <f>Skills!I172</f>
        <v>7</v>
      </c>
      <c r="H12" s="1372" t="str">
        <f>Skills!I78</f>
        <v>Trained</v>
      </c>
      <c r="I12" s="1372"/>
      <c r="J12" s="1370" t="s">
        <v>499</v>
      </c>
      <c r="K12" s="1373"/>
      <c r="L12" s="1021"/>
      <c r="M12" s="1022" t="s">
        <v>206</v>
      </c>
      <c r="N12" s="1021"/>
      <c r="O12" s="1021"/>
      <c r="P12" s="1021"/>
      <c r="Q12" s="1384" t="s">
        <v>504</v>
      </c>
      <c r="R12" s="1402"/>
      <c r="S12" s="1407">
        <f>C15</f>
        <v>8</v>
      </c>
      <c r="T12" s="1021"/>
      <c r="U12" s="1021"/>
      <c r="V12" s="1021"/>
      <c r="W12" s="1398" t="str">
        <f>IF(Skills!I$150="","",Skills!I$151)</f>
        <v/>
      </c>
      <c r="X12" s="737"/>
      <c r="Y12" s="1399"/>
      <c r="Z12" s="1399"/>
      <c r="AA12" s="737" t="str">
        <f>IF(Skills!I$150="","",Skills!I$150)</f>
        <v/>
      </c>
      <c r="AB12" s="1343"/>
      <c r="AC12" s="637"/>
    </row>
    <row r="13" spans="1:29" ht="19.5" customHeight="1" x14ac:dyDescent="0.25">
      <c r="A13" s="643"/>
      <c r="B13" s="1368" t="s">
        <v>528</v>
      </c>
      <c r="C13" s="1374">
        <f>Skills!I5</f>
        <v>13</v>
      </c>
      <c r="D13" s="1375" t="s">
        <v>502</v>
      </c>
      <c r="E13" s="1376">
        <f>Skills!I46</f>
        <v>4</v>
      </c>
      <c r="F13" s="1375" t="s">
        <v>499</v>
      </c>
      <c r="G13" s="1376">
        <f>Skills!I173</f>
        <v>9</v>
      </c>
      <c r="H13" s="1377" t="str">
        <f>Skills!I80</f>
        <v>Expert</v>
      </c>
      <c r="I13" s="1377"/>
      <c r="J13" s="1375" t="s">
        <v>499</v>
      </c>
      <c r="K13" s="1378"/>
      <c r="L13" s="1021"/>
      <c r="M13" s="721" t="str">
        <f>Skills!I309&amp;"'"</f>
        <v>25'</v>
      </c>
      <c r="N13" s="1021"/>
      <c r="O13" s="1021"/>
      <c r="P13" s="1021"/>
      <c r="Q13" s="1403" t="s">
        <v>23</v>
      </c>
      <c r="R13" s="1404"/>
      <c r="S13" s="1408">
        <f>R29</f>
        <v>13</v>
      </c>
      <c r="T13" s="1021"/>
      <c r="U13" s="1021"/>
      <c r="V13" s="1021"/>
      <c r="W13" s="1398" t="str">
        <f>Skills!A154</f>
        <v>Light armor</v>
      </c>
      <c r="X13" s="737"/>
      <c r="Y13" s="1399"/>
      <c r="Z13" s="1399"/>
      <c r="AA13" s="737" t="str">
        <f>Skills!I154</f>
        <v>Trained</v>
      </c>
      <c r="AB13" s="1343"/>
      <c r="AC13" s="637"/>
    </row>
    <row r="14" spans="1:29" ht="19.5" customHeight="1" x14ac:dyDescent="0.3">
      <c r="A14" s="643"/>
      <c r="B14" s="1368" t="s">
        <v>503</v>
      </c>
      <c r="C14" s="1374">
        <f>Skills!I6</f>
        <v>8</v>
      </c>
      <c r="D14" s="1375" t="s">
        <v>502</v>
      </c>
      <c r="E14" s="1376">
        <f>Skills!I47</f>
        <v>-1</v>
      </c>
      <c r="F14" s="1375" t="s">
        <v>499</v>
      </c>
      <c r="G14" s="1376">
        <f>Skills!I174</f>
        <v>9</v>
      </c>
      <c r="H14" s="1377" t="str">
        <f>Skills!I82</f>
        <v>Expert</v>
      </c>
      <c r="I14" s="1377"/>
      <c r="J14" s="1375" t="s">
        <v>499</v>
      </c>
      <c r="K14" s="1378"/>
      <c r="L14" s="1021"/>
      <c r="M14" s="1021"/>
      <c r="N14" s="644"/>
      <c r="O14" s="644"/>
      <c r="P14" s="1021"/>
      <c r="Q14" s="1403" t="s">
        <v>54</v>
      </c>
      <c r="R14" s="1404"/>
      <c r="S14" s="1408">
        <f>D30</f>
        <v>12</v>
      </c>
      <c r="T14" s="1021"/>
      <c r="U14" s="454"/>
      <c r="V14" s="454"/>
      <c r="W14" s="1398" t="str">
        <f>Skills!A156</f>
        <v>Medium armor</v>
      </c>
      <c r="X14" s="737"/>
      <c r="Y14" s="737"/>
      <c r="Z14" s="737"/>
      <c r="AA14" s="737" t="str">
        <f>Skills!I156</f>
        <v>Untrained</v>
      </c>
      <c r="AB14" s="1343"/>
      <c r="AC14" s="637"/>
    </row>
    <row r="15" spans="1:29" ht="19.5" customHeight="1" x14ac:dyDescent="0.3">
      <c r="A15" s="643"/>
      <c r="B15" s="1368" t="s">
        <v>504</v>
      </c>
      <c r="C15" s="1379">
        <f>Skills!I2</f>
        <v>8</v>
      </c>
      <c r="D15" s="1380" t="s">
        <v>502</v>
      </c>
      <c r="E15" s="1381">
        <f>Skills!I42</f>
        <v>-1</v>
      </c>
      <c r="F15" s="1380" t="s">
        <v>499</v>
      </c>
      <c r="G15" s="1381">
        <f>Skills!I171</f>
        <v>9</v>
      </c>
      <c r="H15" s="1382" t="str">
        <f>Skills!I75</f>
        <v>Expert</v>
      </c>
      <c r="I15" s="1382"/>
      <c r="J15" s="1380" t="s">
        <v>499</v>
      </c>
      <c r="K15" s="1383"/>
      <c r="L15" s="498" t="str">
        <f>CONCATENATE(" &lt;&lt; ",Feats!I6)</f>
        <v xml:space="preserve"> &lt;&lt; Darkvision</v>
      </c>
      <c r="M15" s="644"/>
      <c r="N15" s="644"/>
      <c r="O15" s="644"/>
      <c r="P15" s="1021"/>
      <c r="Q15" s="1405" t="s">
        <v>21</v>
      </c>
      <c r="R15" s="1406"/>
      <c r="S15" s="1409">
        <f>D31</f>
        <v>10</v>
      </c>
      <c r="T15" s="454"/>
      <c r="U15" s="454"/>
      <c r="V15" s="454"/>
      <c r="W15" s="1398" t="str">
        <f>Skills!A158</f>
        <v>Heavy armor</v>
      </c>
      <c r="X15" s="737"/>
      <c r="Y15" s="737"/>
      <c r="Z15" s="737"/>
      <c r="AA15" s="737" t="str">
        <f>Skills!I158</f>
        <v>Untrained</v>
      </c>
      <c r="AB15" s="1343"/>
      <c r="AC15" s="637"/>
    </row>
    <row r="16" spans="1:29" ht="19.5" customHeight="1" x14ac:dyDescent="0.3">
      <c r="A16" s="643"/>
      <c r="B16" s="644" t="s">
        <v>550</v>
      </c>
      <c r="C16" s="644"/>
      <c r="D16" s="645"/>
      <c r="E16" s="645"/>
      <c r="F16" s="454"/>
      <c r="G16" s="454"/>
      <c r="H16" s="454"/>
      <c r="I16" s="1189"/>
      <c r="J16" s="1189"/>
      <c r="K16" s="1189"/>
      <c r="L16" s="1189"/>
      <c r="M16" s="1189"/>
      <c r="N16" s="644"/>
      <c r="O16" s="644"/>
      <c r="P16" s="1200"/>
      <c r="Q16" s="1200"/>
      <c r="R16" s="1200"/>
      <c r="S16" s="1200"/>
      <c r="T16" s="1200"/>
      <c r="U16" s="1189"/>
      <c r="V16" s="1189"/>
      <c r="W16" s="1400" t="str">
        <f>Skills!A160</f>
        <v>Unarmored defense</v>
      </c>
      <c r="X16" s="1345"/>
      <c r="Y16" s="1345"/>
      <c r="Z16" s="1345"/>
      <c r="AA16" s="1345" t="str">
        <f>Skills!I163</f>
        <v>Trained</v>
      </c>
      <c r="AB16" s="1347"/>
      <c r="AC16" s="637"/>
    </row>
    <row r="17" spans="1:29" s="444" customFormat="1" ht="11.25" customHeight="1" x14ac:dyDescent="0.2">
      <c r="A17" s="646"/>
      <c r="B17" s="489" t="s">
        <v>343</v>
      </c>
      <c r="C17" s="489"/>
      <c r="D17" s="489"/>
      <c r="E17" s="489"/>
      <c r="F17" s="489"/>
      <c r="G17" s="489"/>
      <c r="H17" s="489" t="s">
        <v>79</v>
      </c>
      <c r="I17" s="489"/>
      <c r="J17" s="489"/>
      <c r="K17" s="489" t="s">
        <v>324</v>
      </c>
      <c r="L17" s="489"/>
      <c r="M17" s="489" t="s">
        <v>342</v>
      </c>
      <c r="N17" s="489"/>
      <c r="O17" s="1555" t="s">
        <v>337</v>
      </c>
      <c r="P17" s="1555"/>
      <c r="Q17" s="1555"/>
      <c r="R17" s="489"/>
      <c r="S17" s="489" t="s">
        <v>330</v>
      </c>
      <c r="T17" s="489" t="s">
        <v>335</v>
      </c>
      <c r="U17" s="489"/>
      <c r="V17" s="489" t="s">
        <v>879</v>
      </c>
      <c r="W17" s="489"/>
      <c r="X17" s="489"/>
      <c r="Y17" s="489"/>
      <c r="Z17" s="489"/>
      <c r="AA17" s="489"/>
      <c r="AB17" s="489"/>
      <c r="AC17" s="647"/>
    </row>
    <row r="18" spans="1:29" ht="19.5" customHeight="1" x14ac:dyDescent="0.25">
      <c r="A18" s="643"/>
      <c r="B18" s="764" t="str">
        <f>'Equipment Combat'!I349</f>
        <v>Jaws</v>
      </c>
      <c r="C18" s="765"/>
      <c r="D18" s="765"/>
      <c r="E18" s="1559" t="str">
        <f>'Equipment Combat'!I364</f>
        <v>13/8/3</v>
      </c>
      <c r="F18" s="1559"/>
      <c r="G18" s="748" t="str">
        <f>"= "&amp;'Equipment Combat'!I367</f>
        <v>= 4</v>
      </c>
      <c r="H18" s="747" t="str">
        <f>'Equipment Combat'!I365</f>
        <v>STR/DEX</v>
      </c>
      <c r="I18" s="747"/>
      <c r="J18" s="748" t="str">
        <f>"+ "&amp;'Equipment Combat'!I368</f>
        <v>+ 9</v>
      </c>
      <c r="K18" s="747" t="str">
        <f>'Equipment Combat'!I366</f>
        <v>Expert</v>
      </c>
      <c r="L18" s="747"/>
      <c r="M18" s="1350">
        <f>'Equipment Combat'!I369</f>
        <v>0</v>
      </c>
      <c r="N18" s="457" t="s">
        <v>505</v>
      </c>
      <c r="O18" s="1560" t="str">
        <f>CONCATENATE('Equipment Combat'!I375,'Equipment Combat'!I357)</f>
        <v>1d6</v>
      </c>
      <c r="P18" s="1561"/>
      <c r="Q18" s="1321" t="str">
        <f>"+"&amp;'Equipment Combat'!I374</f>
        <v>+4</v>
      </c>
      <c r="R18" s="752" t="str">
        <f>'Equipment Combat'!I373</f>
        <v>STR/DEX</v>
      </c>
      <c r="S18" s="1351" t="str">
        <f>'Equipment Combat'!I358</f>
        <v>Piercing</v>
      </c>
      <c r="T18" s="1352" t="str">
        <f>'Equipment Combat'!I363</f>
        <v>Brawling</v>
      </c>
      <c r="U18" s="1353"/>
      <c r="V18" s="1352" t="str">
        <f>'Equipment Combat'!I351&amp;IF('Equipment Combat'!I352="-","",", "&amp;'Equipment Combat'!I352)&amp;IF('Equipment Combat'!I353="-","",", "&amp;'Equipment Combat'!I353)&amp;IF('Equipment Combat'!I354="-","",", "&amp;'Equipment Combat'!I354)&amp;IF('Equipment Combat'!I355="-","",", "&amp;'Equipment Combat'!I355)&amp;IF('Equipment Combat'!I360="-","",", "&amp;'Equipment Combat'!I360)&amp;IF('Equipment Combat'!I361="-","",", "&amp;'Equipment Combat'!I361)</f>
        <v>Unarmed, Finesse</v>
      </c>
      <c r="W18" s="1354"/>
      <c r="X18" s="1354"/>
      <c r="Y18" s="1354"/>
      <c r="Z18" s="1354"/>
      <c r="AA18" s="1354"/>
      <c r="AB18" s="1353"/>
      <c r="AC18" s="637"/>
    </row>
    <row r="19" spans="1:29" ht="19.5" customHeight="1" x14ac:dyDescent="0.25">
      <c r="A19" s="643"/>
      <c r="B19" s="766" t="str">
        <f>'Equipment Combat'!I376</f>
        <v>+1 Dagger</v>
      </c>
      <c r="C19" s="767"/>
      <c r="D19" s="767"/>
      <c r="E19" s="1534" t="str">
        <f>'Equipment Combat'!I391</f>
        <v>14/10/6</v>
      </c>
      <c r="F19" s="1534"/>
      <c r="G19" s="750" t="str">
        <f>"= "&amp;'Equipment Combat'!I394</f>
        <v>= 4</v>
      </c>
      <c r="H19" s="749" t="str">
        <f>'Equipment Combat'!I392</f>
        <v>STR/DEX</v>
      </c>
      <c r="I19" s="749"/>
      <c r="J19" s="750" t="str">
        <f>"+ "&amp;'Equipment Combat'!I395</f>
        <v>+ 9</v>
      </c>
      <c r="K19" s="749" t="str">
        <f>'Equipment Combat'!I393</f>
        <v>Expert</v>
      </c>
      <c r="L19" s="749"/>
      <c r="M19" s="1355">
        <f>'Equipment Combat'!I396</f>
        <v>1</v>
      </c>
      <c r="N19" s="457" t="s">
        <v>505</v>
      </c>
      <c r="O19" s="1540" t="str">
        <f>CONCATENATE('Equipment Combat'!I402,'Equipment Combat'!I384)</f>
        <v>1d4</v>
      </c>
      <c r="P19" s="1541"/>
      <c r="Q19" s="1318" t="str">
        <f>"+"&amp;'Equipment Combat'!I401</f>
        <v>+4</v>
      </c>
      <c r="R19" s="753" t="str">
        <f>'Equipment Combat'!I400</f>
        <v>STR/DEX</v>
      </c>
      <c r="S19" s="1356" t="str">
        <f>'Equipment Combat'!I385</f>
        <v>Piercing</v>
      </c>
      <c r="T19" s="1357" t="str">
        <f>'Equipment Combat'!I390</f>
        <v>Knife</v>
      </c>
      <c r="U19" s="1358"/>
      <c r="V19" s="1357" t="str">
        <f>'Equipment Combat'!I378&amp;IF('Equipment Combat'!I379="-","",", "&amp;'Equipment Combat'!I379)&amp;IF('Equipment Combat'!I380="-","",", "&amp;'Equipment Combat'!I380)&amp;IF('Equipment Combat'!I381="-","",", "&amp;'Equipment Combat'!I381)&amp;IF('Equipment Combat'!I382="-","",", "&amp;'Equipment Combat'!I382)&amp;IF('Equipment Combat'!I387="-","",", "&amp;'Equipment Combat'!I387)&amp;IF('Equipment Combat'!I388="-","",", "&amp;'Equipment Combat'!I388)</f>
        <v>Simple, Agile, Finesse, Thrown 10', Versatile S</v>
      </c>
      <c r="W19" s="1359"/>
      <c r="X19" s="1359"/>
      <c r="Y19" s="1359"/>
      <c r="Z19" s="1359"/>
      <c r="AA19" s="1359"/>
      <c r="AB19" s="1358"/>
      <c r="AC19" s="637"/>
    </row>
    <row r="20" spans="1:29" ht="19.5" customHeight="1" x14ac:dyDescent="0.25">
      <c r="A20" s="643"/>
      <c r="B20" s="766" t="str">
        <f>'Equipment Combat'!I403</f>
        <v>Rapier</v>
      </c>
      <c r="C20" s="767"/>
      <c r="D20" s="767"/>
      <c r="E20" s="1534" t="str">
        <f>'Equipment Combat'!I418</f>
        <v>13/8/3</v>
      </c>
      <c r="F20" s="1534"/>
      <c r="G20" s="750" t="str">
        <f>"= "&amp;'Equipment Combat'!I421</f>
        <v>= 4</v>
      </c>
      <c r="H20" s="749" t="str">
        <f>'Equipment Combat'!I419</f>
        <v>STR/DEX</v>
      </c>
      <c r="I20" s="749"/>
      <c r="J20" s="750" t="str">
        <f>"+ "&amp;'Equipment Combat'!I422</f>
        <v>+ 9</v>
      </c>
      <c r="K20" s="749" t="str">
        <f>'Equipment Combat'!I420</f>
        <v>Expert</v>
      </c>
      <c r="L20" s="749"/>
      <c r="M20" s="1355">
        <f>'Equipment Combat'!I423</f>
        <v>0</v>
      </c>
      <c r="N20" s="457" t="s">
        <v>505</v>
      </c>
      <c r="O20" s="1540" t="str">
        <f>CONCATENATE('Equipment Combat'!I429,'Equipment Combat'!I411)</f>
        <v>1d6</v>
      </c>
      <c r="P20" s="1541"/>
      <c r="Q20" s="1318" t="str">
        <f>"+"&amp;'Equipment Combat'!I428</f>
        <v>+4</v>
      </c>
      <c r="R20" s="753" t="str">
        <f>'Equipment Combat'!I427</f>
        <v>STR/DEX</v>
      </c>
      <c r="S20" s="1356" t="str">
        <f>'Equipment Combat'!I412</f>
        <v>Piercing</v>
      </c>
      <c r="T20" s="1357" t="str">
        <f>'Equipment Combat'!I417</f>
        <v>Sword</v>
      </c>
      <c r="U20" s="1358"/>
      <c r="V20" s="1357" t="str">
        <f>'Equipment Combat'!I405&amp;IF('Equipment Combat'!I406="-","",", "&amp;'Equipment Combat'!I406)&amp;IF('Equipment Combat'!I407="-","",", "&amp;'Equipment Combat'!I407)&amp;IF('Equipment Combat'!I408="-","",", "&amp;'Equipment Combat'!I408)&amp;IF('Equipment Combat'!I409="-","",", "&amp;'Equipment Combat'!I409)&amp;IF('Equipment Combat'!I414="-","",", "&amp;'Equipment Combat'!I414)&amp;IF('Equipment Combat'!I415="-","",", "&amp;'Equipment Combat'!I415)</f>
        <v>Specific 1, Deadly d8, Disarm, Finesse</v>
      </c>
      <c r="W20" s="1359"/>
      <c r="X20" s="1359"/>
      <c r="Y20" s="1359"/>
      <c r="Z20" s="1359"/>
      <c r="AA20" s="1359"/>
      <c r="AB20" s="1358"/>
      <c r="AC20" s="637"/>
    </row>
    <row r="21" spans="1:29" ht="19.5" customHeight="1" x14ac:dyDescent="0.25">
      <c r="A21" s="643"/>
      <c r="B21" s="766" t="str">
        <f>'Equipment Combat'!I430</f>
        <v>Fist</v>
      </c>
      <c r="C21" s="767"/>
      <c r="D21" s="767"/>
      <c r="E21" s="1534" t="str">
        <f>'Equipment Combat'!I445</f>
        <v>13/9/5</v>
      </c>
      <c r="F21" s="1534"/>
      <c r="G21" s="750" t="str">
        <f>"= "&amp;'Equipment Combat'!I448</f>
        <v>= 4</v>
      </c>
      <c r="H21" s="749" t="str">
        <f>'Equipment Combat'!I446</f>
        <v>STR/DEX</v>
      </c>
      <c r="I21" s="749"/>
      <c r="J21" s="750" t="str">
        <f>"+ "&amp;'Equipment Combat'!I449</f>
        <v>+ 9</v>
      </c>
      <c r="K21" s="749" t="str">
        <f>'Equipment Combat'!I447</f>
        <v>Expert</v>
      </c>
      <c r="L21" s="749"/>
      <c r="M21" s="1355">
        <f>'Equipment Combat'!I450</f>
        <v>0</v>
      </c>
      <c r="N21" s="457" t="s">
        <v>505</v>
      </c>
      <c r="O21" s="1540" t="str">
        <f>CONCATENATE('Equipment Combat'!I456,'Equipment Combat'!I438)</f>
        <v>1d4</v>
      </c>
      <c r="P21" s="1541"/>
      <c r="Q21" s="1318" t="str">
        <f>"+"&amp;'Equipment Combat'!I455</f>
        <v>+4</v>
      </c>
      <c r="R21" s="753" t="str">
        <f>'Equipment Combat'!I454</f>
        <v>STR/DEX</v>
      </c>
      <c r="S21" s="1356" t="str">
        <f>'Equipment Combat'!I439</f>
        <v>Bludgeoning</v>
      </c>
      <c r="T21" s="1357" t="str">
        <f>'Equipment Combat'!I444</f>
        <v>Brawling</v>
      </c>
      <c r="U21" s="1358"/>
      <c r="V21" s="1357" t="str">
        <f>'Equipment Combat'!I432&amp;IF('Equipment Combat'!I433="-","",", "&amp;'Equipment Combat'!I433)&amp;IF('Equipment Combat'!I434="-","",", "&amp;'Equipment Combat'!I434)&amp;IF('Equipment Combat'!I435="-","",", "&amp;'Equipment Combat'!I435)&amp;IF('Equipment Combat'!I436="-","",", "&amp;'Equipment Combat'!I436)&amp;IF('Equipment Combat'!I441="-","",", "&amp;'Equipment Combat'!I441)&amp;IF('Equipment Combat'!I442="-","",", "&amp;'Equipment Combat'!I442)</f>
        <v>Unarmed, Agile, Finesse, Nonlethal</v>
      </c>
      <c r="W21" s="1359"/>
      <c r="X21" s="1359"/>
      <c r="Y21" s="1359"/>
      <c r="Z21" s="1359"/>
      <c r="AA21" s="1359"/>
      <c r="AB21" s="1358"/>
      <c r="AC21" s="637"/>
    </row>
    <row r="22" spans="1:29" ht="19.5" customHeight="1" x14ac:dyDescent="0.25">
      <c r="A22" s="643"/>
      <c r="B22" s="766" t="str">
        <f>'Equipment Combat'!I457</f>
        <v>Dagger (Thrown)</v>
      </c>
      <c r="C22" s="767"/>
      <c r="D22" s="767"/>
      <c r="E22" s="1534" t="str">
        <f>'Equipment Combat'!I472</f>
        <v>13/9/5</v>
      </c>
      <c r="F22" s="1534"/>
      <c r="G22" s="750" t="str">
        <f>"= "&amp;'Equipment Combat'!I475</f>
        <v>= 4</v>
      </c>
      <c r="H22" s="749" t="str">
        <f>'Equipment Combat'!I473</f>
        <v>STR/DEX</v>
      </c>
      <c r="I22" s="749"/>
      <c r="J22" s="750" t="str">
        <f>"+ "&amp;'Equipment Combat'!I476</f>
        <v>+ 9</v>
      </c>
      <c r="K22" s="749" t="str">
        <f>'Equipment Combat'!I474</f>
        <v>Expert</v>
      </c>
      <c r="L22" s="749"/>
      <c r="M22" s="1355">
        <f>'Equipment Combat'!I477</f>
        <v>0</v>
      </c>
      <c r="N22" s="457" t="s">
        <v>505</v>
      </c>
      <c r="O22" s="1540" t="str">
        <f>CONCATENATE('Equipment Combat'!I483,'Equipment Combat'!I465)</f>
        <v>1d4</v>
      </c>
      <c r="P22" s="1541"/>
      <c r="Q22" s="1318" t="str">
        <f>"+"&amp;'Equipment Combat'!I482</f>
        <v>+0</v>
      </c>
      <c r="R22" s="753" t="str">
        <f>'Equipment Combat'!I481</f>
        <v>STR</v>
      </c>
      <c r="S22" s="1356" t="str">
        <f>'Equipment Combat'!I466</f>
        <v>Piercing</v>
      </c>
      <c r="T22" s="1357" t="str">
        <f>'Equipment Combat'!I471</f>
        <v>Knife</v>
      </c>
      <c r="U22" s="1358"/>
      <c r="V22" s="1357" t="str">
        <f>'Equipment Combat'!I459&amp;IF('Equipment Combat'!I460="-","",", "&amp;'Equipment Combat'!I460)&amp;IF('Equipment Combat'!I461="-","",", "&amp;'Equipment Combat'!I461)&amp;IF('Equipment Combat'!I462="-","",", "&amp;'Equipment Combat'!I462)&amp;IF('Equipment Combat'!I463="-","",", "&amp;'Equipment Combat'!I463)&amp;IF('Equipment Combat'!I468="-","",", "&amp;'Equipment Combat'!I468)&amp;IF('Equipment Combat'!I469="-","",", "&amp;'Equipment Combat'!I469)</f>
        <v>Simple, Agile, Finesse, Thrown, Versatile S, 10'</v>
      </c>
      <c r="W22" s="1359"/>
      <c r="X22" s="1359"/>
      <c r="Y22" s="1359"/>
      <c r="Z22" s="1359"/>
      <c r="AA22" s="1359"/>
      <c r="AB22" s="1358"/>
      <c r="AC22" s="637"/>
    </row>
    <row r="23" spans="1:29" ht="19.5" hidden="1" customHeight="1" outlineLevel="1" x14ac:dyDescent="0.25">
      <c r="A23" s="643"/>
      <c r="B23" s="1360" t="str">
        <f>'Equipment Combat'!I484</f>
        <v xml:space="preserve"> </v>
      </c>
      <c r="C23" s="1361"/>
      <c r="D23" s="1361"/>
      <c r="E23" s="1535">
        <f>'Equipment Combat'!I499</f>
        <v>0</v>
      </c>
      <c r="F23" s="1535"/>
      <c r="G23" s="751" t="str">
        <f>"= "&amp;'Equipment Combat'!I502</f>
        <v xml:space="preserve">=   </v>
      </c>
      <c r="H23" s="1362" t="str">
        <f>'Equipment Combat'!I500</f>
        <v xml:space="preserve">  </v>
      </c>
      <c r="I23" s="918"/>
      <c r="J23" s="751" t="str">
        <f>"+ "&amp;'Equipment Combat'!I503</f>
        <v xml:space="preserve">+   </v>
      </c>
      <c r="K23" s="918" t="str">
        <f>'Equipment Combat'!I501</f>
        <v xml:space="preserve">  </v>
      </c>
      <c r="L23" s="918"/>
      <c r="M23" s="1363" t="str">
        <f>'Equipment Combat'!I504</f>
        <v xml:space="preserve">  </v>
      </c>
      <c r="N23" s="457" t="s">
        <v>505</v>
      </c>
      <c r="O23" s="1542" t="str">
        <f>CONCATENATE('Equipment Combat'!I510,'Equipment Combat'!I492)</f>
        <v xml:space="preserve">    </v>
      </c>
      <c r="P23" s="1543"/>
      <c r="Q23" s="1319" t="str">
        <f>"+"&amp;'Equipment Combat'!I509</f>
        <v xml:space="preserve">+  </v>
      </c>
      <c r="R23" s="917" t="str">
        <f>'Equipment Combat'!I508</f>
        <v xml:space="preserve">  </v>
      </c>
      <c r="S23" s="1364" t="str">
        <f>'Equipment Combat'!I493</f>
        <v>-</v>
      </c>
      <c r="T23" s="1365" t="str">
        <f>'Equipment Combat'!I498</f>
        <v>-</v>
      </c>
      <c r="U23" s="1366"/>
      <c r="V23" s="1365" t="str">
        <f>'Equipment Combat'!I486&amp;IF('Equipment Combat'!I487="-","",", "&amp;'Equipment Combat'!I487)&amp;IF('Equipment Combat'!I488="-","",", "&amp;'Equipment Combat'!I488)&amp;IF('Equipment Combat'!I489="-","",", "&amp;'Equipment Combat'!I489)&amp;IF('Equipment Combat'!I490="-","",", "&amp;'Equipment Combat'!I490)&amp;IF('Equipment Combat'!I495="-","",", "&amp;'Equipment Combat'!I495)&amp;IF('Equipment Combat'!I496="-","",", "&amp;'Equipment Combat'!I496)</f>
        <v>-</v>
      </c>
      <c r="W23" s="1367"/>
      <c r="X23" s="1367"/>
      <c r="Y23" s="1367"/>
      <c r="Z23" s="1367"/>
      <c r="AA23" s="1367"/>
      <c r="AB23" s="1366"/>
      <c r="AC23" s="637"/>
    </row>
    <row r="24" spans="1:29" s="450" customFormat="1" ht="19.5" customHeight="1" collapsed="1" x14ac:dyDescent="0.3">
      <c r="A24" s="648"/>
      <c r="B24" s="1022" t="s">
        <v>19</v>
      </c>
      <c r="C24" s="1022"/>
      <c r="D24" s="641"/>
      <c r="E24" s="641"/>
      <c r="F24" s="641"/>
      <c r="G24" s="1536"/>
      <c r="H24" s="1536"/>
      <c r="I24" s="641"/>
      <c r="J24" s="641"/>
      <c r="K24" s="641"/>
      <c r="L24" s="641"/>
      <c r="M24" s="641"/>
      <c r="N24" s="641"/>
      <c r="O24" s="641"/>
      <c r="P24" s="641"/>
      <c r="Q24" s="641"/>
      <c r="R24" s="641"/>
      <c r="S24" s="641"/>
      <c r="T24" s="641"/>
      <c r="U24" s="641"/>
      <c r="V24" s="641"/>
      <c r="W24" s="641"/>
      <c r="X24" s="641"/>
      <c r="Y24" s="641"/>
      <c r="Z24" s="641"/>
      <c r="AA24" s="641"/>
      <c r="AB24" s="641"/>
      <c r="AC24" s="642"/>
    </row>
    <row r="25" spans="1:29" ht="15" x14ac:dyDescent="0.25">
      <c r="A25" s="643"/>
      <c r="B25" s="441"/>
      <c r="C25" s="441"/>
      <c r="D25" s="447" t="s">
        <v>7</v>
      </c>
      <c r="E25" s="441"/>
      <c r="F25" s="447" t="s">
        <v>79</v>
      </c>
      <c r="G25" s="441"/>
      <c r="H25" s="441"/>
      <c r="I25" s="447" t="s">
        <v>324</v>
      </c>
      <c r="J25" s="441"/>
      <c r="K25" s="441"/>
      <c r="L25" s="447" t="s">
        <v>342</v>
      </c>
      <c r="M25" s="441"/>
      <c r="N25" s="447" t="s">
        <v>301</v>
      </c>
      <c r="O25" s="1021"/>
      <c r="P25" s="1021"/>
      <c r="Q25" s="1021"/>
      <c r="R25" s="489" t="s">
        <v>7</v>
      </c>
      <c r="S25" s="1021"/>
      <c r="T25" s="489" t="s">
        <v>79</v>
      </c>
      <c r="U25" s="1021"/>
      <c r="V25" s="1021"/>
      <c r="W25" s="489" t="s">
        <v>324</v>
      </c>
      <c r="X25" s="1021"/>
      <c r="Y25" s="1021"/>
      <c r="Z25" s="489" t="s">
        <v>342</v>
      </c>
      <c r="AA25" s="1021"/>
      <c r="AB25" s="489" t="s">
        <v>301</v>
      </c>
      <c r="AC25" s="637"/>
    </row>
    <row r="26" spans="1:29" ht="19.5" customHeight="1" x14ac:dyDescent="0.25">
      <c r="A26" s="643"/>
      <c r="B26" s="754" t="s">
        <v>20</v>
      </c>
      <c r="C26" s="755"/>
      <c r="D26" s="756">
        <f>Skills!I8</f>
        <v>13</v>
      </c>
      <c r="E26" s="732" t="s">
        <v>502</v>
      </c>
      <c r="F26" s="733">
        <f>Skills!I49</f>
        <v>4</v>
      </c>
      <c r="G26" s="733" t="s">
        <v>499</v>
      </c>
      <c r="H26" s="1339">
        <f>Skills!I175</f>
        <v>9</v>
      </c>
      <c r="I26" s="731" t="str">
        <f>Skills!I96</f>
        <v>Expert</v>
      </c>
      <c r="J26" s="731"/>
      <c r="K26" s="734" t="s">
        <v>499</v>
      </c>
      <c r="L26" s="734"/>
      <c r="M26" s="734" t="s">
        <v>499</v>
      </c>
      <c r="N26" s="735">
        <f>Skills!I277</f>
        <v>0</v>
      </c>
      <c r="O26" s="754" t="s">
        <v>60</v>
      </c>
      <c r="P26" s="755"/>
      <c r="Q26" s="1340"/>
      <c r="R26" s="756">
        <f>Skills!I25</f>
        <v>10</v>
      </c>
      <c r="S26" s="732" t="s">
        <v>502</v>
      </c>
      <c r="T26" s="733">
        <f>Skills!I63</f>
        <v>3</v>
      </c>
      <c r="U26" s="733" t="s">
        <v>499</v>
      </c>
      <c r="V26" s="733">
        <f>Skills!I189</f>
        <v>7</v>
      </c>
      <c r="W26" s="731" t="str">
        <f>Skills!I124</f>
        <v>Trained</v>
      </c>
      <c r="X26" s="731"/>
      <c r="Y26" s="734" t="s">
        <v>499</v>
      </c>
      <c r="Z26" s="734"/>
      <c r="AA26" s="734" t="s">
        <v>499</v>
      </c>
      <c r="AB26" s="736"/>
      <c r="AC26" s="637"/>
    </row>
    <row r="27" spans="1:29" ht="19.5" customHeight="1" x14ac:dyDescent="0.25">
      <c r="A27" s="643"/>
      <c r="B27" s="757" t="s">
        <v>51</v>
      </c>
      <c r="C27" s="758"/>
      <c r="D27" s="759">
        <f>Skills!I9</f>
        <v>3</v>
      </c>
      <c r="E27" s="738" t="s">
        <v>502</v>
      </c>
      <c r="F27" s="739">
        <f>Skills!I50</f>
        <v>3</v>
      </c>
      <c r="G27" s="739" t="s">
        <v>499</v>
      </c>
      <c r="H27" s="1341">
        <f>Skills!I176</f>
        <v>0</v>
      </c>
      <c r="I27" s="737" t="str">
        <f>Skills!I98</f>
        <v>Untrained</v>
      </c>
      <c r="J27" s="737"/>
      <c r="K27" s="740" t="s">
        <v>499</v>
      </c>
      <c r="L27" s="740"/>
      <c r="M27" s="740" t="s">
        <v>499</v>
      </c>
      <c r="N27" s="741"/>
      <c r="O27" s="757" t="s">
        <v>61</v>
      </c>
      <c r="P27" s="758"/>
      <c r="Q27" s="1342"/>
      <c r="R27" s="759">
        <f>Skills!I26</f>
        <v>-1</v>
      </c>
      <c r="S27" s="738" t="s">
        <v>502</v>
      </c>
      <c r="T27" s="739">
        <f>Skills!I64</f>
        <v>-1</v>
      </c>
      <c r="U27" s="739" t="s">
        <v>499</v>
      </c>
      <c r="V27" s="739">
        <f>Skills!I190</f>
        <v>0</v>
      </c>
      <c r="W27" s="737" t="str">
        <f>Skills!I126</f>
        <v>Untrained</v>
      </c>
      <c r="X27" s="737"/>
      <c r="Y27" s="740" t="s">
        <v>499</v>
      </c>
      <c r="Z27" s="740"/>
      <c r="AA27" s="740" t="s">
        <v>499</v>
      </c>
      <c r="AB27" s="741"/>
      <c r="AC27" s="637"/>
    </row>
    <row r="28" spans="1:29" ht="19.5" customHeight="1" x14ac:dyDescent="0.25">
      <c r="A28" s="643"/>
      <c r="B28" s="757" t="s">
        <v>52</v>
      </c>
      <c r="C28" s="758"/>
      <c r="D28" s="759">
        <f>Skills!I10</f>
        <v>7</v>
      </c>
      <c r="E28" s="738" t="s">
        <v>502</v>
      </c>
      <c r="F28" s="739">
        <f>Skills!I51</f>
        <v>0</v>
      </c>
      <c r="G28" s="739" t="s">
        <v>499</v>
      </c>
      <c r="H28" s="1341">
        <f>Skills!I177</f>
        <v>7</v>
      </c>
      <c r="I28" s="737" t="str">
        <f>Skills!I100</f>
        <v>Trained</v>
      </c>
      <c r="J28" s="737"/>
      <c r="K28" s="740" t="s">
        <v>499</v>
      </c>
      <c r="L28" s="740"/>
      <c r="M28" s="740" t="s">
        <v>499</v>
      </c>
      <c r="N28" s="742">
        <f>Skills!I278</f>
        <v>0</v>
      </c>
      <c r="O28" s="757" t="s">
        <v>62</v>
      </c>
      <c r="P28" s="758"/>
      <c r="Q28" s="758"/>
      <c r="R28" s="759">
        <f>Skills!I27</f>
        <v>10</v>
      </c>
      <c r="S28" s="738" t="s">
        <v>502</v>
      </c>
      <c r="T28" s="739">
        <f>Skills!I65</f>
        <v>3</v>
      </c>
      <c r="U28" s="739" t="s">
        <v>499</v>
      </c>
      <c r="V28" s="739">
        <f>Skills!I191</f>
        <v>7</v>
      </c>
      <c r="W28" s="737" t="str">
        <f>Skills!I128</f>
        <v>Trained</v>
      </c>
      <c r="X28" s="737"/>
      <c r="Y28" s="740" t="s">
        <v>499</v>
      </c>
      <c r="Z28" s="740"/>
      <c r="AA28" s="740" t="s">
        <v>499</v>
      </c>
      <c r="AB28" s="741"/>
      <c r="AC28" s="637"/>
    </row>
    <row r="29" spans="1:29" ht="19.5" customHeight="1" x14ac:dyDescent="0.25">
      <c r="A29" s="643"/>
      <c r="B29" s="757" t="s">
        <v>53</v>
      </c>
      <c r="C29" s="758"/>
      <c r="D29" s="759">
        <f>Skills!I11</f>
        <v>10</v>
      </c>
      <c r="E29" s="738" t="s">
        <v>502</v>
      </c>
      <c r="F29" s="739">
        <f>Skills!I52</f>
        <v>3</v>
      </c>
      <c r="G29" s="739" t="s">
        <v>499</v>
      </c>
      <c r="H29" s="1341">
        <f>Skills!I178</f>
        <v>7</v>
      </c>
      <c r="I29" s="737" t="str">
        <f>Skills!I102</f>
        <v>Trained</v>
      </c>
      <c r="J29" s="737"/>
      <c r="K29" s="740" t="s">
        <v>499</v>
      </c>
      <c r="L29" s="740"/>
      <c r="M29" s="740" t="s">
        <v>499</v>
      </c>
      <c r="N29" s="741"/>
      <c r="O29" s="757" t="s">
        <v>23</v>
      </c>
      <c r="P29" s="758"/>
      <c r="Q29" s="1342"/>
      <c r="R29" s="759">
        <f>Skills!I28</f>
        <v>13</v>
      </c>
      <c r="S29" s="738" t="s">
        <v>502</v>
      </c>
      <c r="T29" s="739">
        <f>Skills!I66</f>
        <v>4</v>
      </c>
      <c r="U29" s="739" t="s">
        <v>499</v>
      </c>
      <c r="V29" s="739">
        <f>Skills!I192</f>
        <v>9</v>
      </c>
      <c r="W29" s="737" t="str">
        <f>Skills!I130</f>
        <v>Expert</v>
      </c>
      <c r="X29" s="737"/>
      <c r="Y29" s="740" t="s">
        <v>499</v>
      </c>
      <c r="Z29" s="740"/>
      <c r="AA29" s="740" t="s">
        <v>499</v>
      </c>
      <c r="AB29" s="742">
        <f>Skills!I279</f>
        <v>0</v>
      </c>
      <c r="AC29" s="637"/>
    </row>
    <row r="30" spans="1:29" ht="19.5" customHeight="1" x14ac:dyDescent="0.25">
      <c r="A30" s="643"/>
      <c r="B30" s="757" t="s">
        <v>54</v>
      </c>
      <c r="C30" s="758"/>
      <c r="D30" s="759">
        <f>Skills!I12</f>
        <v>12</v>
      </c>
      <c r="E30" s="738" t="s">
        <v>502</v>
      </c>
      <c r="F30" s="739">
        <f>Skills!I53</f>
        <v>3</v>
      </c>
      <c r="G30" s="739" t="s">
        <v>499</v>
      </c>
      <c r="H30" s="1341">
        <f>Skills!I179</f>
        <v>9</v>
      </c>
      <c r="I30" s="737" t="str">
        <f>Skills!I104</f>
        <v>Expert</v>
      </c>
      <c r="J30" s="737"/>
      <c r="K30" s="740" t="s">
        <v>499</v>
      </c>
      <c r="L30" s="740"/>
      <c r="M30" s="740" t="s">
        <v>499</v>
      </c>
      <c r="N30" s="741"/>
      <c r="O30" s="757" t="s">
        <v>24</v>
      </c>
      <c r="P30" s="758"/>
      <c r="Q30" s="1342"/>
      <c r="R30" s="759">
        <f>Skills!I29</f>
        <v>6</v>
      </c>
      <c r="S30" s="738" t="s">
        <v>502</v>
      </c>
      <c r="T30" s="739">
        <f>Skills!I67</f>
        <v>-1</v>
      </c>
      <c r="U30" s="739" t="s">
        <v>499</v>
      </c>
      <c r="V30" s="739">
        <f>Skills!I193</f>
        <v>7</v>
      </c>
      <c r="W30" s="737" t="str">
        <f>Skills!I132</f>
        <v>Trained</v>
      </c>
      <c r="X30" s="737"/>
      <c r="Y30" s="740" t="s">
        <v>499</v>
      </c>
      <c r="Z30" s="740"/>
      <c r="AA30" s="740" t="s">
        <v>499</v>
      </c>
      <c r="AB30" s="741"/>
      <c r="AC30" s="637"/>
    </row>
    <row r="31" spans="1:29" ht="19.5" customHeight="1" x14ac:dyDescent="0.25">
      <c r="A31" s="643"/>
      <c r="B31" s="757" t="s">
        <v>21</v>
      </c>
      <c r="C31" s="758"/>
      <c r="D31" s="759">
        <f>Skills!I13</f>
        <v>10</v>
      </c>
      <c r="E31" s="738" t="s">
        <v>502</v>
      </c>
      <c r="F31" s="739">
        <f>Skills!I54</f>
        <v>3</v>
      </c>
      <c r="G31" s="739" t="s">
        <v>499</v>
      </c>
      <c r="H31" s="1341">
        <f>Skills!I180</f>
        <v>7</v>
      </c>
      <c r="I31" s="737" t="str">
        <f>Skills!I106</f>
        <v>Trained</v>
      </c>
      <c r="J31" s="737"/>
      <c r="K31" s="740" t="s">
        <v>499</v>
      </c>
      <c r="L31" s="740"/>
      <c r="M31" s="740" t="s">
        <v>499</v>
      </c>
      <c r="N31" s="741"/>
      <c r="O31" s="757" t="s">
        <v>63</v>
      </c>
      <c r="P31" s="758"/>
      <c r="Q31" s="1342"/>
      <c r="R31" s="759">
        <f>Skills!I30</f>
        <v>11</v>
      </c>
      <c r="S31" s="738" t="s">
        <v>502</v>
      </c>
      <c r="T31" s="739">
        <f>Skills!I68</f>
        <v>4</v>
      </c>
      <c r="U31" s="739" t="s">
        <v>499</v>
      </c>
      <c r="V31" s="739">
        <f>Skills!I194</f>
        <v>7</v>
      </c>
      <c r="W31" s="737" t="str">
        <f>Skills!I134</f>
        <v>Trained</v>
      </c>
      <c r="X31" s="737"/>
      <c r="Y31" s="740" t="s">
        <v>499</v>
      </c>
      <c r="Z31" s="740"/>
      <c r="AA31" s="740" t="s">
        <v>499</v>
      </c>
      <c r="AB31" s="742">
        <f>Skills!I280</f>
        <v>0</v>
      </c>
      <c r="AC31" s="637"/>
    </row>
    <row r="32" spans="1:29" ht="19.5" customHeight="1" x14ac:dyDescent="0.25">
      <c r="A32" s="643"/>
      <c r="B32" s="757" t="s">
        <v>55</v>
      </c>
      <c r="C32" s="758"/>
      <c r="D32" s="759">
        <f>Skills!I14</f>
        <v>12</v>
      </c>
      <c r="E32" s="738" t="s">
        <v>502</v>
      </c>
      <c r="F32" s="739">
        <f>Skills!I55</f>
        <v>3</v>
      </c>
      <c r="G32" s="739" t="s">
        <v>499</v>
      </c>
      <c r="H32" s="1341">
        <f>Skills!I181</f>
        <v>9</v>
      </c>
      <c r="I32" s="737" t="str">
        <f>Skills!I108</f>
        <v>Expert</v>
      </c>
      <c r="J32" s="737"/>
      <c r="K32" s="740" t="s">
        <v>499</v>
      </c>
      <c r="L32" s="740"/>
      <c r="M32" s="740" t="s">
        <v>499</v>
      </c>
      <c r="N32" s="741"/>
      <c r="O32" s="757"/>
      <c r="P32" s="758"/>
      <c r="Q32" s="1342"/>
      <c r="R32" s="1342"/>
      <c r="S32" s="737"/>
      <c r="T32" s="737"/>
      <c r="U32" s="737"/>
      <c r="V32" s="737"/>
      <c r="W32" s="737"/>
      <c r="X32" s="737"/>
      <c r="Y32" s="737"/>
      <c r="Z32" s="737"/>
      <c r="AA32" s="737"/>
      <c r="AB32" s="1343"/>
      <c r="AC32" s="637"/>
    </row>
    <row r="33" spans="1:29" ht="19.5" customHeight="1" x14ac:dyDescent="0.25">
      <c r="A33" s="643"/>
      <c r="B33" s="1139" t="str">
        <f>CONCATENATE("&gt; ",Skills!I17)</f>
        <v>&gt; Cooking</v>
      </c>
      <c r="C33" s="758"/>
      <c r="D33" s="759">
        <f>Skills!I16</f>
        <v>10</v>
      </c>
      <c r="E33" s="738" t="s">
        <v>502</v>
      </c>
      <c r="F33" s="739">
        <f>Skills!I57</f>
        <v>3</v>
      </c>
      <c r="G33" s="739" t="s">
        <v>499</v>
      </c>
      <c r="H33" s="1341">
        <f>Skills!I183</f>
        <v>7</v>
      </c>
      <c r="I33" s="737" t="str">
        <f>Skills!I112</f>
        <v>Trained</v>
      </c>
      <c r="J33" s="737"/>
      <c r="K33" s="740" t="s">
        <v>499</v>
      </c>
      <c r="L33" s="740"/>
      <c r="M33" s="740" t="s">
        <v>499</v>
      </c>
      <c r="N33" s="741"/>
      <c r="O33" s="757"/>
      <c r="P33" s="758"/>
      <c r="Q33" s="1342"/>
      <c r="R33" s="1342"/>
      <c r="S33" s="737"/>
      <c r="T33" s="737"/>
      <c r="U33" s="737"/>
      <c r="V33" s="737"/>
      <c r="W33" s="737"/>
      <c r="X33" s="737"/>
      <c r="Y33" s="737"/>
      <c r="Z33" s="737"/>
      <c r="AA33" s="737"/>
      <c r="AB33" s="1343"/>
      <c r="AC33" s="637"/>
    </row>
    <row r="34" spans="1:29" ht="19.5" hidden="1" customHeight="1" outlineLevel="1" x14ac:dyDescent="0.25">
      <c r="A34" s="643"/>
      <c r="B34" s="1139" t="str">
        <f>IF(Skills!I19="","",CONCATENATE("&gt; ",Skills!I19))</f>
        <v/>
      </c>
      <c r="C34" s="758"/>
      <c r="D34" s="759" t="str">
        <f>IF(Skills!I19="","",Skills!I18)</f>
        <v/>
      </c>
      <c r="E34" s="738" t="s">
        <v>502</v>
      </c>
      <c r="F34" s="739" t="str">
        <f>IF(Skills!I19="","",Skills!I57)</f>
        <v/>
      </c>
      <c r="G34" s="739" t="s">
        <v>499</v>
      </c>
      <c r="H34" s="1341">
        <f>Skills!I184</f>
        <v>0</v>
      </c>
      <c r="I34" s="737" t="str">
        <f>Skills!I114</f>
        <v>Untrained</v>
      </c>
      <c r="J34" s="737"/>
      <c r="K34" s="740" t="s">
        <v>499</v>
      </c>
      <c r="L34" s="740"/>
      <c r="M34" s="740" t="s">
        <v>499</v>
      </c>
      <c r="N34" s="741"/>
      <c r="O34" s="757"/>
      <c r="P34" s="758"/>
      <c r="Q34" s="1342"/>
      <c r="R34" s="1342"/>
      <c r="S34" s="737"/>
      <c r="T34" s="737"/>
      <c r="U34" s="737"/>
      <c r="V34" s="737"/>
      <c r="W34" s="737"/>
      <c r="X34" s="737"/>
      <c r="Y34" s="737"/>
      <c r="Z34" s="737"/>
      <c r="AA34" s="737"/>
      <c r="AB34" s="1343"/>
      <c r="AC34" s="637"/>
    </row>
    <row r="35" spans="1:29" ht="19.5" customHeight="1" collapsed="1" x14ac:dyDescent="0.25">
      <c r="A35" s="643"/>
      <c r="B35" s="760" t="s">
        <v>57</v>
      </c>
      <c r="C35" s="758"/>
      <c r="D35" s="759">
        <f>Skills!I22</f>
        <v>6</v>
      </c>
      <c r="E35" s="738" t="s">
        <v>502</v>
      </c>
      <c r="F35" s="739">
        <f>Skills!I60</f>
        <v>-1</v>
      </c>
      <c r="G35" s="739" t="s">
        <v>499</v>
      </c>
      <c r="H35" s="1341">
        <f>Skills!I186</f>
        <v>7</v>
      </c>
      <c r="I35" s="737" t="str">
        <f>Skills!I118</f>
        <v>Trained</v>
      </c>
      <c r="J35" s="737"/>
      <c r="K35" s="740" t="s">
        <v>499</v>
      </c>
      <c r="L35" s="740"/>
      <c r="M35" s="740" t="s">
        <v>499</v>
      </c>
      <c r="N35" s="741"/>
      <c r="O35" s="757"/>
      <c r="P35" s="758"/>
      <c r="Q35" s="1342"/>
      <c r="R35" s="1342"/>
      <c r="S35" s="737"/>
      <c r="T35" s="737"/>
      <c r="U35" s="737"/>
      <c r="V35" s="737"/>
      <c r="W35" s="737"/>
      <c r="X35" s="737"/>
      <c r="Y35" s="737"/>
      <c r="Z35" s="737"/>
      <c r="AA35" s="737"/>
      <c r="AB35" s="1343"/>
      <c r="AC35" s="637"/>
    </row>
    <row r="36" spans="1:29" ht="19.5" customHeight="1" x14ac:dyDescent="0.25">
      <c r="A36" s="643"/>
      <c r="B36" s="757" t="s">
        <v>58</v>
      </c>
      <c r="C36" s="758"/>
      <c r="D36" s="759">
        <f>Skills!I23</f>
        <v>6</v>
      </c>
      <c r="E36" s="738" t="s">
        <v>502</v>
      </c>
      <c r="F36" s="739">
        <f>Skills!I61</f>
        <v>-1</v>
      </c>
      <c r="G36" s="739" t="s">
        <v>499</v>
      </c>
      <c r="H36" s="1341">
        <f>Skills!I187</f>
        <v>7</v>
      </c>
      <c r="I36" s="737" t="str">
        <f>Skills!I120</f>
        <v>Trained</v>
      </c>
      <c r="J36" s="737"/>
      <c r="K36" s="740" t="s">
        <v>499</v>
      </c>
      <c r="L36" s="740"/>
      <c r="M36" s="740" t="s">
        <v>499</v>
      </c>
      <c r="N36" s="741"/>
      <c r="O36" s="757"/>
      <c r="P36" s="758"/>
      <c r="Q36" s="1342"/>
      <c r="R36" s="1342"/>
      <c r="S36" s="737"/>
      <c r="T36" s="737"/>
      <c r="U36" s="737"/>
      <c r="V36" s="737"/>
      <c r="W36" s="737"/>
      <c r="X36" s="737"/>
      <c r="Y36" s="737"/>
      <c r="Z36" s="737"/>
      <c r="AA36" s="737"/>
      <c r="AB36" s="1343"/>
      <c r="AC36" s="637"/>
    </row>
    <row r="37" spans="1:29" ht="19.5" customHeight="1" x14ac:dyDescent="0.25">
      <c r="A37" s="643"/>
      <c r="B37" s="761" t="s">
        <v>59</v>
      </c>
      <c r="C37" s="762"/>
      <c r="D37" s="763">
        <f>Skills!I24</f>
        <v>3</v>
      </c>
      <c r="E37" s="743" t="s">
        <v>502</v>
      </c>
      <c r="F37" s="744">
        <f>Skills!I62</f>
        <v>3</v>
      </c>
      <c r="G37" s="744" t="s">
        <v>499</v>
      </c>
      <c r="H37" s="1344">
        <f>Skills!I188</f>
        <v>0</v>
      </c>
      <c r="I37" s="1345" t="str">
        <f>Skills!I122</f>
        <v>Untrained</v>
      </c>
      <c r="J37" s="1345"/>
      <c r="K37" s="745" t="s">
        <v>499</v>
      </c>
      <c r="L37" s="745"/>
      <c r="M37" s="745" t="s">
        <v>499</v>
      </c>
      <c r="N37" s="746"/>
      <c r="O37" s="761"/>
      <c r="P37" s="762"/>
      <c r="Q37" s="1346"/>
      <c r="R37" s="1346"/>
      <c r="S37" s="1345"/>
      <c r="T37" s="1345"/>
      <c r="U37" s="1345"/>
      <c r="V37" s="1345"/>
      <c r="W37" s="1345"/>
      <c r="X37" s="1345"/>
      <c r="Y37" s="1345"/>
      <c r="Z37" s="1345"/>
      <c r="AA37" s="1345"/>
      <c r="AB37" s="1347"/>
      <c r="AC37" s="637"/>
    </row>
    <row r="38" spans="1:29" s="458" customFormat="1" ht="19.5" customHeight="1" x14ac:dyDescent="0.3">
      <c r="A38" s="639"/>
      <c r="B38" s="1022" t="s">
        <v>549</v>
      </c>
      <c r="C38" s="1022"/>
      <c r="D38" s="1022"/>
      <c r="E38" s="1022"/>
      <c r="F38" s="1022"/>
      <c r="G38" s="1022"/>
      <c r="H38" s="1022"/>
      <c r="I38" s="1022"/>
      <c r="J38" s="1022"/>
      <c r="K38" s="1022"/>
      <c r="L38" s="1022"/>
      <c r="M38" s="1022"/>
      <c r="N38" s="1022"/>
      <c r="O38" s="1022"/>
      <c r="P38" s="1022"/>
      <c r="Q38" s="1022"/>
      <c r="R38" s="1022"/>
      <c r="S38" s="1022"/>
      <c r="T38" s="1022"/>
      <c r="U38" s="1022"/>
      <c r="V38" s="1022"/>
      <c r="W38" s="1022"/>
      <c r="X38" s="1022"/>
      <c r="Y38" s="1022"/>
      <c r="Z38" s="1022"/>
      <c r="AA38" s="1022"/>
      <c r="AB38" s="1022"/>
      <c r="AC38" s="649"/>
    </row>
    <row r="39" spans="1:29" s="444" customFormat="1" ht="19.5" customHeight="1" x14ac:dyDescent="0.25">
      <c r="A39" s="646"/>
      <c r="B39" s="722" t="str">
        <f>IF('Equipment Combat'!I512="","",'Equipment Combat'!I512&amp;" -&gt; Trigger : "&amp;'Equipment Combat'!I513&amp;"; Effect : "&amp;'Equipment Combat'!I514&amp;IF('Equipment Combat'!I515="",""," - "&amp;'Equipment Combat'!I515))</f>
        <v>Goblin Scuttle -&gt; Trigger : An ally ends a move action adjacent to you; Effect : You step</v>
      </c>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4"/>
      <c r="AC39" s="647"/>
    </row>
    <row r="40" spans="1:29" s="444" customFormat="1" ht="19.5" customHeight="1" x14ac:dyDescent="0.25">
      <c r="A40" s="646"/>
      <c r="B40" s="725" t="str">
        <f>IF('Equipment Combat'!I516="","",'Equipment Combat'!I516&amp;" -&gt; Trigger : "&amp;'Equipment Combat'!I517&amp;"; Effect : "&amp;'Equipment Combat'!I518&amp;IF('Equipment Combat'!I519="",""," - "&amp;'Equipment Combat'!I519))</f>
        <v>Nimble Dodge -&gt; Trigger : Creature targets you and you can see attacker; Effect : +2 circ. to AC against att - [Not encumbered]</v>
      </c>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7"/>
      <c r="AC40" s="647"/>
    </row>
    <row r="41" spans="1:29" s="444" customFormat="1" ht="19.5" customHeight="1" x14ac:dyDescent="0.25">
      <c r="A41" s="646"/>
      <c r="B41" s="725" t="str">
        <f>IF('Equipment Combat'!I520="","",'Equipment Combat'!I520&amp;" -&gt; Trigger : "&amp;'Equipment Combat'!I521&amp;"; Effect : "&amp;'Equipment Combat'!I522&amp;IF('Equipment Combat'!I523="",""," - "&amp;'Equipment Combat'!I523))</f>
        <v>Weapon tricks -&gt; Trigger : Critical success on Strike vs flat-footed creature; Effect : Critical specialization effect - [Agile/Finesse simple or specific weapon]</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7"/>
      <c r="AC41" s="647"/>
    </row>
    <row r="42" spans="1:29" s="444" customFormat="1" ht="19.5" hidden="1" customHeight="1" outlineLevel="1" x14ac:dyDescent="0.25">
      <c r="A42" s="646"/>
      <c r="B42" s="725" t="str">
        <f>IF('Equipment Combat'!I524="","",'Equipment Combat'!I524&amp;" -&gt; Trigger : "&amp;'Equipment Combat'!I525&amp;"; Effect : "&amp;'Equipment Combat'!I526&amp;IF('Equipment Combat'!I527="",""," - "&amp;'Equipment Combat'!I527))</f>
        <v/>
      </c>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7"/>
      <c r="AC42" s="647"/>
    </row>
    <row r="43" spans="1:29" s="444" customFormat="1" ht="19.5" hidden="1" customHeight="1" outlineLevel="1" x14ac:dyDescent="0.25">
      <c r="A43" s="646"/>
      <c r="B43" s="728" t="str">
        <f>IF('Equipment Combat'!I528="","",'Equipment Combat'!I528&amp;" -&gt; Trigger : "&amp;'Equipment Combat'!I529&amp;"; Effect : "&amp;'Equipment Combat'!I530&amp;IF('Equipment Combat'!I531="",""," - "&amp;'Equipment Combat'!I531))</f>
        <v/>
      </c>
      <c r="C43" s="729"/>
      <c r="D43" s="729"/>
      <c r="E43" s="729"/>
      <c r="F43" s="729"/>
      <c r="G43" s="729"/>
      <c r="H43" s="729"/>
      <c r="I43" s="729"/>
      <c r="J43" s="729"/>
      <c r="K43" s="729"/>
      <c r="L43" s="729"/>
      <c r="M43" s="729"/>
      <c r="N43" s="729"/>
      <c r="O43" s="729"/>
      <c r="P43" s="729"/>
      <c r="Q43" s="729"/>
      <c r="R43" s="729"/>
      <c r="S43" s="729"/>
      <c r="T43" s="729"/>
      <c r="U43" s="729"/>
      <c r="V43" s="729"/>
      <c r="W43" s="729"/>
      <c r="X43" s="729"/>
      <c r="Y43" s="729"/>
      <c r="Z43" s="729"/>
      <c r="AA43" s="729"/>
      <c r="AB43" s="730"/>
      <c r="AC43" s="647"/>
    </row>
    <row r="44" spans="1:29" ht="19.5" customHeight="1" collapsed="1" thickBot="1" x14ac:dyDescent="0.3">
      <c r="A44" s="650"/>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2"/>
    </row>
    <row r="45" spans="1:29" ht="19.5" customHeight="1" x14ac:dyDescent="0.25">
      <c r="A45" s="655"/>
      <c r="B45" s="633"/>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5"/>
    </row>
    <row r="46" spans="1:29" ht="19.5" customHeight="1" x14ac:dyDescent="0.25">
      <c r="A46" s="656"/>
      <c r="B46" s="657" t="s">
        <v>279</v>
      </c>
      <c r="C46" s="454"/>
      <c r="D46" s="454"/>
      <c r="E46" s="454"/>
      <c r="F46" s="454"/>
      <c r="G46" s="454"/>
      <c r="H46" s="454"/>
      <c r="I46" s="454"/>
      <c r="J46" s="454"/>
      <c r="K46" s="130"/>
      <c r="L46" s="130"/>
      <c r="M46" s="454"/>
      <c r="N46" s="130"/>
      <c r="O46" s="454"/>
      <c r="P46" s="130"/>
      <c r="Q46" s="454"/>
      <c r="R46" s="130"/>
      <c r="S46" s="130"/>
      <c r="T46" s="1021"/>
      <c r="U46" s="1021"/>
      <c r="V46" s="1021"/>
      <c r="W46" s="1021"/>
      <c r="X46" s="1021"/>
      <c r="Y46" s="1021"/>
      <c r="Z46" s="1021"/>
      <c r="AA46" s="1021"/>
      <c r="AB46" s="1021"/>
      <c r="AC46" s="637"/>
    </row>
    <row r="47" spans="1:29" ht="19.5" customHeight="1" x14ac:dyDescent="0.25">
      <c r="A47" s="656"/>
      <c r="B47" s="454"/>
      <c r="C47" s="455" t="s">
        <v>342</v>
      </c>
      <c r="D47" s="454"/>
      <c r="G47" s="455" t="s">
        <v>514</v>
      </c>
      <c r="H47" s="455" t="s">
        <v>339</v>
      </c>
      <c r="I47" s="454"/>
      <c r="J47" s="455" t="s">
        <v>342</v>
      </c>
      <c r="K47" s="454"/>
      <c r="L47" s="454"/>
      <c r="M47" s="130"/>
      <c r="N47" s="455" t="s">
        <v>514</v>
      </c>
      <c r="O47" s="455" t="s">
        <v>339</v>
      </c>
      <c r="P47" s="130"/>
      <c r="Q47" s="455" t="s">
        <v>342</v>
      </c>
      <c r="R47" s="130"/>
      <c r="T47" s="454"/>
      <c r="U47" s="455" t="s">
        <v>514</v>
      </c>
      <c r="V47" s="455" t="s">
        <v>339</v>
      </c>
      <c r="W47" s="130"/>
      <c r="X47" s="455" t="s">
        <v>342</v>
      </c>
      <c r="Z47" s="454"/>
      <c r="AA47" s="455" t="s">
        <v>514</v>
      </c>
      <c r="AB47" s="455" t="s">
        <v>339</v>
      </c>
      <c r="AC47" s="637"/>
    </row>
    <row r="48" spans="1:29" ht="19.5" customHeight="1" x14ac:dyDescent="0.25">
      <c r="A48" s="656"/>
      <c r="B48" s="1328" t="str">
        <f>IF('Equipment Combat'!I7="","",'Equipment Combat'!I7&amp;" ("&amp;'Equipment Combat'!I114&amp;")")</f>
        <v>Backpack (Back)</v>
      </c>
      <c r="C48" s="1329"/>
      <c r="D48" s="1329"/>
      <c r="E48" s="1330"/>
      <c r="F48" s="1331"/>
      <c r="G48" s="714">
        <f>IF('Equipment Combat'!I60="","",'Equipment Combat'!I60)</f>
        <v>1</v>
      </c>
      <c r="H48" s="715" t="str">
        <f>IF('Equipment Combat'!I114="Stowed","["&amp;IF('Equipment Combat'!#REF!&lt;0.1,"",IF('Equipment Combat'!#REF!&lt;1,INT(10*'Equipment Combat'!#REF!)&amp;"L",INT('Equipment Combat'!#REF!)&amp;"B"))&amp;"]",IF('Equipment Combat'!I277&lt;0.1,"",IF('Equipment Combat'!I277&lt;1,INT(10*'Equipment Combat'!I277)&amp;"L",INT('Equipment Combat'!I277)&amp;"B")))</f>
        <v>1B</v>
      </c>
      <c r="I48" s="1328" t="str">
        <f>IF('Equipment Combat'!I20="","",'Equipment Combat'!I20&amp;" ("&amp;'Equipment Combat'!I127&amp;")")</f>
        <v>Alchemist's Tools (Stowed)</v>
      </c>
      <c r="J48" s="1329"/>
      <c r="K48" s="1330"/>
      <c r="L48" s="1331"/>
      <c r="M48" s="1329"/>
      <c r="N48" s="714">
        <f>IF('Equipment Combat'!I73="","",'Equipment Combat'!I73)</f>
        <v>1</v>
      </c>
      <c r="O48" s="715" t="str">
        <f>IF('Equipment Combat'!I127="Stowed","["&amp;IF('Equipment Combat'!I234&lt;0.1,"",IF('Equipment Combat'!I234&lt;1,INT(10*'Equipment Combat'!I234)&amp;"L",INT('Equipment Combat'!I234)&amp;"B"))&amp;"]",IF('Equipment Combat'!I290&lt;0.1,"",IF('Equipment Combat'!I290&lt;1,INT(10*'Equipment Combat'!I290)&amp;"L",INT('Equipment Combat'!I290)&amp;"B")))</f>
        <v>[1B]</v>
      </c>
      <c r="P48" s="1328" t="str">
        <f>IF('Equipment Combat'!I33="","",'Equipment Combat'!I33&amp;" ("&amp;'Equipment Combat'!I140&amp;")")</f>
        <v/>
      </c>
      <c r="Q48" s="1329"/>
      <c r="R48" s="1330"/>
      <c r="S48" s="1331"/>
      <c r="T48" s="1329"/>
      <c r="U48" s="714" t="str">
        <f>IF('Equipment Combat'!I86="","",'Equipment Combat'!I86)</f>
        <v/>
      </c>
      <c r="V48" s="715" t="str">
        <f>IF('Equipment Combat'!I140="Stowed","["&amp;IF('Equipment Combat'!I247&lt;0.1,"",IF('Equipment Combat'!I247&lt;1,INT(10*'Equipment Combat'!I247)&amp;"L",INT('Equipment Combat'!I247)&amp;"B"))&amp;"]",IF('Equipment Combat'!I303&lt;0.1,"",IF('Equipment Combat'!I303&lt;1,INT(10*'Equipment Combat'!I303)&amp;"L",INT('Equipment Combat'!I303)&amp;"B")))</f>
        <v/>
      </c>
      <c r="W48" s="1328" t="str">
        <f>IF('Equipment Combat'!I46="","",'Equipment Combat'!I46&amp;" ("&amp;'Equipment Combat'!I153&amp;")")</f>
        <v/>
      </c>
      <c r="X48" s="1329"/>
      <c r="Y48" s="1331"/>
      <c r="Z48" s="1329"/>
      <c r="AA48" s="714" t="str">
        <f>IF('Equipment Combat'!I99="","",'Equipment Combat'!I99)</f>
        <v/>
      </c>
      <c r="AB48" s="715" t="str">
        <f>IF('Equipment Combat'!I153="Stowed","["&amp;IF('Equipment Combat'!I260&lt;0.1,"",IF('Equipment Combat'!I260&lt;1,INT(10*'Equipment Combat'!I260)&amp;"L",INT('Equipment Combat'!I260)&amp;"B"))&amp;"]",IF('Equipment Combat'!I316&lt;0.1,"",IF('Equipment Combat'!I316&lt;1,INT(10*'Equipment Combat'!I316)&amp;"L",INT('Equipment Combat'!I316)&amp;"B")))</f>
        <v/>
      </c>
      <c r="AC48" s="637"/>
    </row>
    <row r="49" spans="1:29" ht="19.5" customHeight="1" x14ac:dyDescent="0.25">
      <c r="A49" s="656"/>
      <c r="B49" s="1332" t="str">
        <f>IF('Equipment Combat'!I8="","",'Equipment Combat'!I8&amp;" ("&amp;'Equipment Combat'!I115&amp;")")</f>
        <v>Bedroll (Stowed)</v>
      </c>
      <c r="C49" s="1333"/>
      <c r="D49" s="1333"/>
      <c r="E49" s="1334"/>
      <c r="F49" s="1335"/>
      <c r="G49" s="716">
        <f>IF('Equipment Combat'!I61="","",'Equipment Combat'!I61)</f>
        <v>1</v>
      </c>
      <c r="H49" s="717" t="str">
        <f>IF('Equipment Combat'!I115="Stowed","["&amp;IF('Equipment Combat'!I222&lt;0.1,"",IF('Equipment Combat'!I222&lt;1,INT(10*'Equipment Combat'!I222)&amp;"L",INT('Equipment Combat'!I222)&amp;"B"))&amp;"]",IF('Equipment Combat'!I278&lt;0.1,"",IF('Equipment Combat'!I278&lt;1,INT(10*'Equipment Combat'!I278)&amp;"L",INT('Equipment Combat'!I278)&amp;"B")))</f>
        <v>[1L]</v>
      </c>
      <c r="I49" s="1332" t="str">
        <f>IF('Equipment Combat'!I21="","",'Equipment Combat'!I21&amp;" ("&amp;'Equipment Combat'!I128&amp;")")</f>
        <v>Climbing kit (Stowed)</v>
      </c>
      <c r="J49" s="1333"/>
      <c r="K49" s="1334"/>
      <c r="L49" s="1335"/>
      <c r="M49" s="1333"/>
      <c r="N49" s="716">
        <f>IF('Equipment Combat'!I74="","",'Equipment Combat'!I74)</f>
        <v>1</v>
      </c>
      <c r="O49" s="717" t="str">
        <f>IF('Equipment Combat'!I128="Stowed","["&amp;IF('Equipment Combat'!I235&lt;0.1,"",IF('Equipment Combat'!I235&lt;1,INT(10*'Equipment Combat'!I235)&amp;"L",INT('Equipment Combat'!I235)&amp;"B"))&amp;"]",IF('Equipment Combat'!I291&lt;0.1,"",IF('Equipment Combat'!I291&lt;1,INT(10*'Equipment Combat'!I291)&amp;"L",INT('Equipment Combat'!I291)&amp;"B")))</f>
        <v>[1B]</v>
      </c>
      <c r="P49" s="1332" t="str">
        <f>IF('Equipment Combat'!I34="","",'Equipment Combat'!I34&amp;" ("&amp;'Equipment Combat'!I141&amp;")")</f>
        <v/>
      </c>
      <c r="Q49" s="1333"/>
      <c r="R49" s="1334"/>
      <c r="S49" s="1335"/>
      <c r="T49" s="1333"/>
      <c r="U49" s="716" t="str">
        <f>IF('Equipment Combat'!I87="","",'Equipment Combat'!I87)</f>
        <v/>
      </c>
      <c r="V49" s="717" t="str">
        <f>IF('Equipment Combat'!I141="Stowed","["&amp;IF('Equipment Combat'!I248&lt;0.1,"",IF('Equipment Combat'!I248&lt;1,INT(10*'Equipment Combat'!I248)&amp;"L",INT('Equipment Combat'!I248)&amp;"B"))&amp;"]",IF('Equipment Combat'!I304&lt;0.1,"",IF('Equipment Combat'!I304&lt;1,INT(10*'Equipment Combat'!I304)&amp;"L",INT('Equipment Combat'!I304)&amp;"B")))</f>
        <v/>
      </c>
      <c r="W49" s="1332" t="str">
        <f>IF('Equipment Combat'!I47="","",'Equipment Combat'!I47&amp;" ("&amp;'Equipment Combat'!I154&amp;")")</f>
        <v/>
      </c>
      <c r="X49" s="1333"/>
      <c r="Y49" s="1335"/>
      <c r="Z49" s="1333"/>
      <c r="AA49" s="716" t="str">
        <f>IF('Equipment Combat'!I100="","",'Equipment Combat'!I100)</f>
        <v/>
      </c>
      <c r="AB49" s="717" t="str">
        <f>IF('Equipment Combat'!I154="Stowed","["&amp;IF('Equipment Combat'!I261&lt;0.1,"",IF('Equipment Combat'!I261&lt;1,INT(10*'Equipment Combat'!I261)&amp;"L",INT('Equipment Combat'!I261)&amp;"B"))&amp;"]",IF('Equipment Combat'!I317&lt;0.1,"",IF('Equipment Combat'!I317&lt;1,INT(10*'Equipment Combat'!I317)&amp;"L",INT('Equipment Combat'!I317)&amp;"B")))</f>
        <v/>
      </c>
      <c r="AC49" s="637"/>
    </row>
    <row r="50" spans="1:29" ht="19.5" customHeight="1" x14ac:dyDescent="0.25">
      <c r="A50" s="656"/>
      <c r="B50" s="1332" t="str">
        <f>IF('Equipment Combat'!I9="","",'Equipment Combat'!I9&amp;" ("&amp;'Equipment Combat'!I116&amp;")")</f>
        <v>Chalk (Stowed)</v>
      </c>
      <c r="C50" s="1333"/>
      <c r="D50" s="1333"/>
      <c r="E50" s="1334"/>
      <c r="F50" s="1335"/>
      <c r="G50" s="716">
        <f>IF('Equipment Combat'!I62="","",'Equipment Combat'!I62)</f>
        <v>10</v>
      </c>
      <c r="H50" s="717" t="str">
        <f>IF('Equipment Combat'!I116="Stowed","["&amp;IF('Equipment Combat'!I223&lt;0.1,"",IF('Equipment Combat'!I223&lt;1,INT(10*'Equipment Combat'!I223)&amp;"L",INT('Equipment Combat'!I223)&amp;"B"))&amp;"]",IF('Equipment Combat'!I279&lt;0.1,"",IF('Equipment Combat'!I279&lt;1,INT(10*'Equipment Combat'!I279)&amp;"L",INT('Equipment Combat'!I279)&amp;"B")))</f>
        <v>[]</v>
      </c>
      <c r="I50" s="1332" t="str">
        <f>IF('Equipment Combat'!I22="","",'Equipment Combat'!I22&amp;" ("&amp;'Equipment Combat'!I129&amp;")")</f>
        <v>Dagger (1d4) (Worn)</v>
      </c>
      <c r="J50" s="1333"/>
      <c r="K50" s="1334"/>
      <c r="L50" s="1335"/>
      <c r="M50" s="1333"/>
      <c r="N50" s="716">
        <f>IF('Equipment Combat'!I75="","",'Equipment Combat'!I75)</f>
        <v>5</v>
      </c>
      <c r="O50" s="717" t="str">
        <f>IF('Equipment Combat'!I129="Stowed","["&amp;IF('Equipment Combat'!I236&lt;0.1,"",IF('Equipment Combat'!I236&lt;1,INT(10*'Equipment Combat'!I236)&amp;"L",INT('Equipment Combat'!I236)&amp;"B"))&amp;"]",IF('Equipment Combat'!I292&lt;0.1,"",IF('Equipment Combat'!I292&lt;1,INT(10*'Equipment Combat'!I292)&amp;"L",INT('Equipment Combat'!I292)&amp;"B")))</f>
        <v>5L</v>
      </c>
      <c r="P50" s="1332" t="str">
        <f>IF('Equipment Combat'!I35="","",'Equipment Combat'!I35&amp;" ("&amp;'Equipment Combat'!I142&amp;")")</f>
        <v/>
      </c>
      <c r="Q50" s="1333"/>
      <c r="R50" s="1334"/>
      <c r="S50" s="1335"/>
      <c r="T50" s="1333"/>
      <c r="U50" s="716" t="str">
        <f>IF('Equipment Combat'!I88="","",'Equipment Combat'!I88)</f>
        <v/>
      </c>
      <c r="V50" s="717" t="str">
        <f>IF('Equipment Combat'!I142="Stowed","["&amp;IF('Equipment Combat'!I249&lt;0.1,"",IF('Equipment Combat'!I249&lt;1,INT(10*'Equipment Combat'!I249)&amp;"L",INT('Equipment Combat'!I249)&amp;"B"))&amp;"]",IF('Equipment Combat'!I305&lt;0.1,"",IF('Equipment Combat'!I305&lt;1,INT(10*'Equipment Combat'!I305)&amp;"L",INT('Equipment Combat'!I305)&amp;"B")))</f>
        <v/>
      </c>
      <c r="W50" s="1332" t="str">
        <f>IF('Equipment Combat'!I48="","",'Equipment Combat'!I48&amp;" ("&amp;'Equipment Combat'!I155&amp;")")</f>
        <v/>
      </c>
      <c r="X50" s="1333"/>
      <c r="Y50" s="1335"/>
      <c r="Z50" s="1333"/>
      <c r="AA50" s="716" t="str">
        <f>IF('Equipment Combat'!I101="","",'Equipment Combat'!I101)</f>
        <v/>
      </c>
      <c r="AB50" s="717" t="str">
        <f>IF('Equipment Combat'!I155="Stowed","["&amp;IF('Equipment Combat'!I262&lt;0.1,"",IF('Equipment Combat'!I262&lt;1,INT(10*'Equipment Combat'!I262)&amp;"L",INT('Equipment Combat'!I262)&amp;"B"))&amp;"]",IF('Equipment Combat'!I318&lt;0.1,"",IF('Equipment Combat'!I318&lt;1,INT(10*'Equipment Combat'!I318)&amp;"L",INT('Equipment Combat'!I318)&amp;"B")))</f>
        <v/>
      </c>
      <c r="AC50" s="637"/>
    </row>
    <row r="51" spans="1:29" ht="19.5" customHeight="1" x14ac:dyDescent="0.25">
      <c r="A51" s="656"/>
      <c r="B51" s="1332" t="str">
        <f>IF('Equipment Combat'!I10="","",'Equipment Combat'!I10&amp;" ("&amp;'Equipment Combat'!I117&amp;")")</f>
        <v>Flint and Steel (Stowed)</v>
      </c>
      <c r="C51" s="1333"/>
      <c r="D51" s="1333"/>
      <c r="E51" s="1334"/>
      <c r="F51" s="1335"/>
      <c r="G51" s="716">
        <f>IF('Equipment Combat'!I63="","",'Equipment Combat'!I63)</f>
        <v>1</v>
      </c>
      <c r="H51" s="717" t="str">
        <f>IF('Equipment Combat'!I117="Stowed","["&amp;IF('Equipment Combat'!I224&lt;0.1,"",IF('Equipment Combat'!I224&lt;1,INT(10*'Equipment Combat'!I224)&amp;"L",INT('Equipment Combat'!I224)&amp;"B"))&amp;"]",IF('Equipment Combat'!I280&lt;0.1,"",IF('Equipment Combat'!I280&lt;1,INT(10*'Equipment Combat'!I280)&amp;"L",INT('Equipment Combat'!I280)&amp;"B")))</f>
        <v>[]</v>
      </c>
      <c r="I51" s="1332" t="str">
        <f>IF('Equipment Combat'!I23="","",'Equipment Combat'!I23&amp;" ("&amp;'Equipment Combat'!I130&amp;")")</f>
        <v>Doubling Rings (Worn)</v>
      </c>
      <c r="J51" s="1333"/>
      <c r="K51" s="1334"/>
      <c r="L51" s="1335"/>
      <c r="M51" s="1333"/>
      <c r="N51" s="716">
        <f>IF('Equipment Combat'!I76="","",'Equipment Combat'!I76)</f>
        <v>1</v>
      </c>
      <c r="O51" s="717" t="str">
        <f>IF('Equipment Combat'!I130="Stowed","["&amp;IF('Equipment Combat'!I237&lt;0.1,"",IF('Equipment Combat'!I237&lt;1,INT(10*'Equipment Combat'!I237)&amp;"L",INT('Equipment Combat'!I237)&amp;"B"))&amp;"]",IF('Equipment Combat'!I293&lt;0.1,"",IF('Equipment Combat'!I293&lt;1,INT(10*'Equipment Combat'!I293)&amp;"L",INT('Equipment Combat'!I293)&amp;"B")))</f>
        <v/>
      </c>
      <c r="P51" s="1332" t="str">
        <f>IF('Equipment Combat'!I36="","",'Equipment Combat'!I36&amp;" ("&amp;'Equipment Combat'!I143&amp;")")</f>
        <v/>
      </c>
      <c r="Q51" s="1333"/>
      <c r="R51" s="1334"/>
      <c r="S51" s="1335"/>
      <c r="T51" s="1333"/>
      <c r="U51" s="716" t="str">
        <f>IF('Equipment Combat'!I89="","",'Equipment Combat'!I89)</f>
        <v/>
      </c>
      <c r="V51" s="717" t="str">
        <f>IF('Equipment Combat'!I143="Stowed","["&amp;IF('Equipment Combat'!I250&lt;0.1,"",IF('Equipment Combat'!I250&lt;1,INT(10*'Equipment Combat'!I250)&amp;"L",INT('Equipment Combat'!I250)&amp;"B"))&amp;"]",IF('Equipment Combat'!I306&lt;0.1,"",IF('Equipment Combat'!I306&lt;1,INT(10*'Equipment Combat'!I306)&amp;"L",INT('Equipment Combat'!I306)&amp;"B")))</f>
        <v/>
      </c>
      <c r="W51" s="1332" t="str">
        <f>IF('Equipment Combat'!I49="","",'Equipment Combat'!I49&amp;" ("&amp;'Equipment Combat'!I156&amp;")")</f>
        <v/>
      </c>
      <c r="X51" s="1333"/>
      <c r="Y51" s="1335"/>
      <c r="Z51" s="1333"/>
      <c r="AA51" s="716" t="str">
        <f>IF('Equipment Combat'!I102="","",'Equipment Combat'!I102)</f>
        <v/>
      </c>
      <c r="AB51" s="717" t="str">
        <f>IF('Equipment Combat'!I156="Stowed","["&amp;IF('Equipment Combat'!I263&lt;0.1,"",IF('Equipment Combat'!I263&lt;1,INT(10*'Equipment Combat'!I263)&amp;"L",INT('Equipment Combat'!I263)&amp;"B"))&amp;"]",IF('Equipment Combat'!I319&lt;0.1,"",IF('Equipment Combat'!I319&lt;1,INT(10*'Equipment Combat'!I319)&amp;"L",INT('Equipment Combat'!I319)&amp;"B")))</f>
        <v/>
      </c>
      <c r="AC51" s="637"/>
    </row>
    <row r="52" spans="1:29" ht="19.5" customHeight="1" x14ac:dyDescent="0.25">
      <c r="A52" s="656"/>
      <c r="B52" s="1332" t="str">
        <f>IF('Equipment Combat'!I11="","",'Equipment Combat'!I11&amp;" ("&amp;'Equipment Combat'!I118&amp;")")</f>
        <v>Rations (day) (Stowed)</v>
      </c>
      <c r="C52" s="1333"/>
      <c r="D52" s="1333"/>
      <c r="E52" s="1334"/>
      <c r="F52" s="1335"/>
      <c r="G52" s="716">
        <f>IF('Equipment Combat'!I64="","",'Equipment Combat'!I64)</f>
        <v>28</v>
      </c>
      <c r="H52" s="717" t="str">
        <f>IF('Equipment Combat'!I118="Stowed","["&amp;IF('Equipment Combat'!I225&lt;0.1,"",IF('Equipment Combat'!I225&lt;1,INT(10*'Equipment Combat'!I225)&amp;"L",INT('Equipment Combat'!I225)&amp;"B"))&amp;"]",IF('Equipment Combat'!I281&lt;0.1,"",IF('Equipment Combat'!I281&lt;1,INT(10*'Equipment Combat'!I281)&amp;"L",INT('Equipment Combat'!I281)&amp;"B")))</f>
        <v>[4L]</v>
      </c>
      <c r="I52" s="1332" t="str">
        <f>IF('Equipment Combat'!I24="","",'Equipment Combat'!I24&amp;" ("&amp;'Equipment Combat'!I131&amp;")")</f>
        <v>Lesser Healing Potion (Worn)</v>
      </c>
      <c r="J52" s="1333"/>
      <c r="K52" s="1334"/>
      <c r="L52" s="1335"/>
      <c r="M52" s="1333"/>
      <c r="N52" s="716">
        <f>IF('Equipment Combat'!I77="","",'Equipment Combat'!I77)</f>
        <v>1</v>
      </c>
      <c r="O52" s="717" t="str">
        <f>IF('Equipment Combat'!I131="Stowed","["&amp;IF('Equipment Combat'!I238&lt;0.1,"",IF('Equipment Combat'!I238&lt;1,INT(10*'Equipment Combat'!I238)&amp;"L",INT('Equipment Combat'!I238)&amp;"B"))&amp;"]",IF('Equipment Combat'!I294&lt;0.1,"",IF('Equipment Combat'!I294&lt;1,INT(10*'Equipment Combat'!I294)&amp;"L",INT('Equipment Combat'!I294)&amp;"B")))</f>
        <v>1L</v>
      </c>
      <c r="P52" s="1332" t="str">
        <f>IF('Equipment Combat'!I37="","",'Equipment Combat'!I37&amp;" ("&amp;'Equipment Combat'!I144&amp;")")</f>
        <v/>
      </c>
      <c r="Q52" s="1333"/>
      <c r="R52" s="1334"/>
      <c r="S52" s="1335"/>
      <c r="T52" s="1333"/>
      <c r="U52" s="716" t="str">
        <f>IF('Equipment Combat'!I90="","",'Equipment Combat'!I90)</f>
        <v/>
      </c>
      <c r="V52" s="717" t="str">
        <f>IF('Equipment Combat'!I144="Stowed","["&amp;IF('Equipment Combat'!I251&lt;0.1,"",IF('Equipment Combat'!I251&lt;1,INT(10*'Equipment Combat'!I251)&amp;"L",INT('Equipment Combat'!I251)&amp;"B"))&amp;"]",IF('Equipment Combat'!I307&lt;0.1,"",IF('Equipment Combat'!I307&lt;1,INT(10*'Equipment Combat'!I307)&amp;"L",INT('Equipment Combat'!I307)&amp;"B")))</f>
        <v/>
      </c>
      <c r="W52" s="1332" t="str">
        <f>IF('Equipment Combat'!I50="","",'Equipment Combat'!I50&amp;" ("&amp;'Equipment Combat'!I157&amp;")")</f>
        <v/>
      </c>
      <c r="X52" s="1333"/>
      <c r="Y52" s="1335"/>
      <c r="Z52" s="1333"/>
      <c r="AA52" s="716" t="str">
        <f>IF('Equipment Combat'!I103="","",'Equipment Combat'!I103)</f>
        <v/>
      </c>
      <c r="AB52" s="717" t="str">
        <f>IF('Equipment Combat'!I157="Stowed","["&amp;IF('Equipment Combat'!I264&lt;0.1,"",IF('Equipment Combat'!I264&lt;1,INT(10*'Equipment Combat'!I264)&amp;"L",INT('Equipment Combat'!I264)&amp;"B"))&amp;"]",IF('Equipment Combat'!I320&lt;0.1,"",IF('Equipment Combat'!I320&lt;1,INT(10*'Equipment Combat'!I320)&amp;"L",INT('Equipment Combat'!I320)&amp;"B")))</f>
        <v/>
      </c>
      <c r="AC52" s="637"/>
    </row>
    <row r="53" spans="1:29" ht="19.5" customHeight="1" x14ac:dyDescent="0.25">
      <c r="A53" s="656"/>
      <c r="B53" s="1332" t="str">
        <f>IF('Equipment Combat'!I12="","",'Equipment Combat'!I12&amp;" ("&amp;'Equipment Combat'!I119&amp;")")</f>
        <v>Rope 50' (Stowed)</v>
      </c>
      <c r="C53" s="1333"/>
      <c r="D53" s="1333"/>
      <c r="E53" s="1334"/>
      <c r="F53" s="1335"/>
      <c r="G53" s="716">
        <f>IF('Equipment Combat'!I65="","",'Equipment Combat'!I65)</f>
        <v>1</v>
      </c>
      <c r="H53" s="717" t="str">
        <f>IF('Equipment Combat'!I119="Stowed","["&amp;IF('Equipment Combat'!I226&lt;0.1,"",IF('Equipment Combat'!I226&lt;1,INT(10*'Equipment Combat'!I226)&amp;"L",INT('Equipment Combat'!I226)&amp;"B"))&amp;"]",IF('Equipment Combat'!I282&lt;0.1,"",IF('Equipment Combat'!I282&lt;1,INT(10*'Equipment Combat'!I282)&amp;"L",INT('Equipment Combat'!I282)&amp;"B")))</f>
        <v>[1L]</v>
      </c>
      <c r="I53" s="1332" t="str">
        <f>IF('Equipment Combat'!I25="","",'Equipment Combat'!I25&amp;" ("&amp;'Equipment Combat'!I132&amp;")")</f>
        <v>Silk Pyjama (25 gp) (Stowed)</v>
      </c>
      <c r="J53" s="1333"/>
      <c r="K53" s="1334"/>
      <c r="L53" s="1335"/>
      <c r="M53" s="1333"/>
      <c r="N53" s="716">
        <f>IF('Equipment Combat'!I78="","",'Equipment Combat'!I78)</f>
        <v>1</v>
      </c>
      <c r="O53" s="717" t="str">
        <f>IF('Equipment Combat'!I132="Stowed","["&amp;IF('Equipment Combat'!I239&lt;0.1,"",IF('Equipment Combat'!I239&lt;1,INT(10*'Equipment Combat'!I239)&amp;"L",INT('Equipment Combat'!I239)&amp;"B"))&amp;"]",IF('Equipment Combat'!I295&lt;0.1,"",IF('Equipment Combat'!I295&lt;1,INT(10*'Equipment Combat'!I295)&amp;"L",INT('Equipment Combat'!I295)&amp;"B")))</f>
        <v>[1L]</v>
      </c>
      <c r="P53" s="1332" t="str">
        <f>IF('Equipment Combat'!I38="","",'Equipment Combat'!I38&amp;" ("&amp;'Equipment Combat'!I145&amp;")")</f>
        <v/>
      </c>
      <c r="Q53" s="1333"/>
      <c r="R53" s="1334"/>
      <c r="S53" s="1335"/>
      <c r="T53" s="1333"/>
      <c r="U53" s="716" t="str">
        <f>IF('Equipment Combat'!I91="","",'Equipment Combat'!I91)</f>
        <v/>
      </c>
      <c r="V53" s="717" t="str">
        <f>IF('Equipment Combat'!I145="Stowed","["&amp;IF('Equipment Combat'!I252&lt;0.1,"",IF('Equipment Combat'!I252&lt;1,INT(10*'Equipment Combat'!I252)&amp;"L",INT('Equipment Combat'!I252)&amp;"B"))&amp;"]",IF('Equipment Combat'!I308&lt;0.1,"",IF('Equipment Combat'!I308&lt;1,INT(10*'Equipment Combat'!I308)&amp;"L",INT('Equipment Combat'!I308)&amp;"B")))</f>
        <v/>
      </c>
      <c r="W53" s="1332" t="str">
        <f>IF('Equipment Combat'!I51="","",'Equipment Combat'!I51&amp;" ("&amp;'Equipment Combat'!I158&amp;")")</f>
        <v/>
      </c>
      <c r="X53" s="1333"/>
      <c r="Y53" s="1335"/>
      <c r="Z53" s="1333"/>
      <c r="AA53" s="716" t="str">
        <f>IF('Equipment Combat'!I104="","",'Equipment Combat'!I104)</f>
        <v/>
      </c>
      <c r="AB53" s="717" t="str">
        <f>IF('Equipment Combat'!I158="Stowed","["&amp;IF('Equipment Combat'!I265&lt;0.1,"",IF('Equipment Combat'!I265&lt;1,INT(10*'Equipment Combat'!I265)&amp;"L",INT('Equipment Combat'!I265)&amp;"B"))&amp;"]",IF('Equipment Combat'!I321&lt;0.1,"",IF('Equipment Combat'!I321&lt;1,INT(10*'Equipment Combat'!I321)&amp;"L",INT('Equipment Combat'!I321)&amp;"B")))</f>
        <v/>
      </c>
      <c r="AC53" s="637"/>
    </row>
    <row r="54" spans="1:29" ht="19.5" customHeight="1" x14ac:dyDescent="0.25">
      <c r="A54" s="656"/>
      <c r="B54" s="1332" t="str">
        <f>IF('Equipment Combat'!I13="","",'Equipment Combat'!I13&amp;" ("&amp;'Equipment Combat'!I120&amp;")")</f>
        <v>Soap (Stowed)</v>
      </c>
      <c r="C54" s="1333"/>
      <c r="D54" s="1333"/>
      <c r="E54" s="1334"/>
      <c r="F54" s="1335"/>
      <c r="G54" s="716">
        <f>IF('Equipment Combat'!I66="","",'Equipment Combat'!I66)</f>
        <v>1</v>
      </c>
      <c r="H54" s="717" t="str">
        <f>IF('Equipment Combat'!I120="Stowed","["&amp;IF('Equipment Combat'!I227&lt;0.1,"",IF('Equipment Combat'!I227&lt;1,INT(10*'Equipment Combat'!I227)&amp;"L",INT('Equipment Combat'!I227)&amp;"B"))&amp;"]",IF('Equipment Combat'!I283&lt;0.1,"",IF('Equipment Combat'!I283&lt;1,INT(10*'Equipment Combat'!I283)&amp;"L",INT('Equipment Combat'!I283)&amp;"B")))</f>
        <v>[]</v>
      </c>
      <c r="I54" s="1332" t="str">
        <f>IF('Equipment Combat'!I26="","",'Equipment Combat'!I26&amp;" ("&amp;'Equipment Combat'!I133&amp;")")</f>
        <v>Antiplague (Lesser) (Worn)</v>
      </c>
      <c r="J54" s="1333"/>
      <c r="K54" s="1334"/>
      <c r="L54" s="1335"/>
      <c r="M54" s="1333"/>
      <c r="N54" s="716">
        <f>IF('Equipment Combat'!I79="","",'Equipment Combat'!I79)</f>
        <v>1</v>
      </c>
      <c r="O54" s="717" t="str">
        <f>IF('Equipment Combat'!I133="Stowed","["&amp;IF('Equipment Combat'!I240&lt;0.1,"",IF('Equipment Combat'!I240&lt;1,INT(10*'Equipment Combat'!I240)&amp;"L",INT('Equipment Combat'!I240)&amp;"B"))&amp;"]",IF('Equipment Combat'!I296&lt;0.1,"",IF('Equipment Combat'!I296&lt;1,INT(10*'Equipment Combat'!I296)&amp;"L",INT('Equipment Combat'!I296)&amp;"B")))</f>
        <v>1L</v>
      </c>
      <c r="P54" s="1332" t="str">
        <f>IF('Equipment Combat'!I39="","",'Equipment Combat'!I39&amp;" ("&amp;'Equipment Combat'!I146&amp;")")</f>
        <v/>
      </c>
      <c r="Q54" s="1333"/>
      <c r="R54" s="1334"/>
      <c r="S54" s="1335"/>
      <c r="T54" s="1333"/>
      <c r="U54" s="716" t="str">
        <f>IF('Equipment Combat'!I92="","",'Equipment Combat'!I92)</f>
        <v/>
      </c>
      <c r="V54" s="717" t="str">
        <f>IF('Equipment Combat'!I146="Stowed","["&amp;IF('Equipment Combat'!I253&lt;0.1,"",IF('Equipment Combat'!I253&lt;1,INT(10*'Equipment Combat'!I253)&amp;"L",INT('Equipment Combat'!I253)&amp;"B"))&amp;"]",IF('Equipment Combat'!I309&lt;0.1,"",IF('Equipment Combat'!I309&lt;1,INT(10*'Equipment Combat'!I309)&amp;"L",INT('Equipment Combat'!I309)&amp;"B")))</f>
        <v/>
      </c>
      <c r="W54" s="1332" t="str">
        <f>IF('Equipment Combat'!I52="","",'Equipment Combat'!I52&amp;" ("&amp;'Equipment Combat'!I159&amp;")")</f>
        <v/>
      </c>
      <c r="X54" s="1333"/>
      <c r="Y54" s="1335"/>
      <c r="Z54" s="1333"/>
      <c r="AA54" s="716" t="str">
        <f>IF('Equipment Combat'!I105="","",'Equipment Combat'!I105)</f>
        <v/>
      </c>
      <c r="AB54" s="717" t="str">
        <f>IF('Equipment Combat'!I159="Stowed","["&amp;IF('Equipment Combat'!I266&lt;0.1,"",IF('Equipment Combat'!I266&lt;1,INT(10*'Equipment Combat'!I266)&amp;"L",INT('Equipment Combat'!I266)&amp;"B"))&amp;"]",IF('Equipment Combat'!I322&lt;0.1,"",IF('Equipment Combat'!I322&lt;1,INT(10*'Equipment Combat'!I322)&amp;"L",INT('Equipment Combat'!I322)&amp;"B")))</f>
        <v/>
      </c>
      <c r="AC54" s="637"/>
    </row>
    <row r="55" spans="1:29" ht="19.5" customHeight="1" x14ac:dyDescent="0.25">
      <c r="A55" s="656"/>
      <c r="B55" s="1332" t="str">
        <f>IF('Equipment Combat'!I14="","",'Equipment Combat'!I14&amp;" ("&amp;'Equipment Combat'!I121&amp;")")</f>
        <v>Torch (Stowed)</v>
      </c>
      <c r="C55" s="1333"/>
      <c r="D55" s="1333"/>
      <c r="E55" s="1334"/>
      <c r="F55" s="1335"/>
      <c r="G55" s="716">
        <f>IF('Equipment Combat'!I67="","",'Equipment Combat'!I67)</f>
        <v>5</v>
      </c>
      <c r="H55" s="717" t="str">
        <f>IF('Equipment Combat'!I121="Stowed","["&amp;IF('Equipment Combat'!I228&lt;0.1,"",IF('Equipment Combat'!I228&lt;1,INT(10*'Equipment Combat'!I228)&amp;"L",INT('Equipment Combat'!I228)&amp;"B"))&amp;"]",IF('Equipment Combat'!I284&lt;0.1,"",IF('Equipment Combat'!I284&lt;1,INT(10*'Equipment Combat'!I284)&amp;"L",INT('Equipment Combat'!I284)&amp;"B")))</f>
        <v>[5L]</v>
      </c>
      <c r="I55" s="1332" t="str">
        <f>IF('Equipment Combat'!I27="","",'Equipment Combat'!I27&amp;" ("&amp;'Equipment Combat'!I134&amp;")")</f>
        <v/>
      </c>
      <c r="J55" s="1333"/>
      <c r="K55" s="1334"/>
      <c r="L55" s="1335"/>
      <c r="M55" s="1333"/>
      <c r="N55" s="716" t="str">
        <f>IF('Equipment Combat'!I80="","",'Equipment Combat'!I80)</f>
        <v/>
      </c>
      <c r="O55" s="717" t="str">
        <f>IF('Equipment Combat'!I134="Stowed","["&amp;IF('Equipment Combat'!I241&lt;0.1,"",IF('Equipment Combat'!I241&lt;1,INT(10*'Equipment Combat'!I241)&amp;"L",INT('Equipment Combat'!I241)&amp;"B"))&amp;"]",IF('Equipment Combat'!I297&lt;0.1,"",IF('Equipment Combat'!I297&lt;1,INT(10*'Equipment Combat'!I297)&amp;"L",INT('Equipment Combat'!I297)&amp;"B")))</f>
        <v/>
      </c>
      <c r="P55" s="1332" t="str">
        <f>IF('Equipment Combat'!I40="","",'Equipment Combat'!I40&amp;" ("&amp;'Equipment Combat'!I147&amp;")")</f>
        <v/>
      </c>
      <c r="Q55" s="1333"/>
      <c r="R55" s="1334"/>
      <c r="S55" s="1335"/>
      <c r="T55" s="1333"/>
      <c r="U55" s="716" t="str">
        <f>IF('Equipment Combat'!I93="","",'Equipment Combat'!I93)</f>
        <v/>
      </c>
      <c r="V55" s="717" t="str">
        <f>IF('Equipment Combat'!I147="Stowed","["&amp;IF('Equipment Combat'!I254&lt;0.1,"",IF('Equipment Combat'!I254&lt;1,INT(10*'Equipment Combat'!I254)&amp;"L",INT('Equipment Combat'!I254)&amp;"B"))&amp;"]",IF('Equipment Combat'!I310&lt;0.1,"",IF('Equipment Combat'!I310&lt;1,INT(10*'Equipment Combat'!I310)&amp;"L",INT('Equipment Combat'!I310)&amp;"B")))</f>
        <v/>
      </c>
      <c r="W55" s="1332" t="str">
        <f>IF('Equipment Combat'!I53="","",'Equipment Combat'!I53&amp;" ("&amp;'Equipment Combat'!I160&amp;")")</f>
        <v/>
      </c>
      <c r="X55" s="1333"/>
      <c r="Y55" s="1335"/>
      <c r="Z55" s="1333"/>
      <c r="AA55" s="716" t="str">
        <f>IF('Equipment Combat'!I106="","",'Equipment Combat'!I106)</f>
        <v/>
      </c>
      <c r="AB55" s="717" t="str">
        <f>IF('Equipment Combat'!I160="Stowed","["&amp;IF('Equipment Combat'!I267&lt;0.1,"",IF('Equipment Combat'!I267&lt;1,INT(10*'Equipment Combat'!I267)&amp;"L",INT('Equipment Combat'!I267)&amp;"B"))&amp;"]",IF('Equipment Combat'!I323&lt;0.1,"",IF('Equipment Combat'!I323&lt;1,INT(10*'Equipment Combat'!I323)&amp;"L",INT('Equipment Combat'!I323)&amp;"B")))</f>
        <v/>
      </c>
      <c r="AC55" s="637"/>
    </row>
    <row r="56" spans="1:29" ht="19.5" customHeight="1" x14ac:dyDescent="0.25">
      <c r="A56" s="656"/>
      <c r="B56" s="1332" t="str">
        <f>IF('Equipment Combat'!I15="","",'Equipment Combat'!I15&amp;" ("&amp;'Equipment Combat'!I122&amp;")")</f>
        <v>Waterskin (Stowed)</v>
      </c>
      <c r="C56" s="1333"/>
      <c r="D56" s="1333"/>
      <c r="E56" s="1334"/>
      <c r="F56" s="1335"/>
      <c r="G56" s="716">
        <f>IF('Equipment Combat'!I68="","",'Equipment Combat'!I68)</f>
        <v>1</v>
      </c>
      <c r="H56" s="717" t="str">
        <f>IF('Equipment Combat'!I122="Stowed","["&amp;IF('Equipment Combat'!I229&lt;0.1,"",IF('Equipment Combat'!I229&lt;1,INT(10*'Equipment Combat'!I229)&amp;"L",INT('Equipment Combat'!I229)&amp;"B"))&amp;"]",IF('Equipment Combat'!I285&lt;0.1,"",IF('Equipment Combat'!I285&lt;1,INT(10*'Equipment Combat'!I285)&amp;"L",INT('Equipment Combat'!I285)&amp;"B")))</f>
        <v>[1L]</v>
      </c>
      <c r="I56" s="1332" t="str">
        <f>IF('Equipment Combat'!I28="","",'Equipment Combat'!I28&amp;" ("&amp;'Equipment Combat'!I135&amp;")")</f>
        <v/>
      </c>
      <c r="J56" s="1333"/>
      <c r="K56" s="1334"/>
      <c r="L56" s="1335"/>
      <c r="M56" s="1333"/>
      <c r="N56" s="716" t="str">
        <f>IF('Equipment Combat'!I81="","",'Equipment Combat'!I81)</f>
        <v/>
      </c>
      <c r="O56" s="717" t="str">
        <f>IF('Equipment Combat'!I135="Stowed","["&amp;IF('Equipment Combat'!I242&lt;0.1,"",IF('Equipment Combat'!I242&lt;1,INT(10*'Equipment Combat'!I242)&amp;"L",INT('Equipment Combat'!I242)&amp;"B"))&amp;"]",IF('Equipment Combat'!I298&lt;0.1,"",IF('Equipment Combat'!I298&lt;1,INT(10*'Equipment Combat'!I298)&amp;"L",INT('Equipment Combat'!I298)&amp;"B")))</f>
        <v/>
      </c>
      <c r="P56" s="1332" t="str">
        <f>IF('Equipment Combat'!I41="","",'Equipment Combat'!I41&amp;" ("&amp;'Equipment Combat'!I148&amp;")")</f>
        <v/>
      </c>
      <c r="Q56" s="1333"/>
      <c r="R56" s="1334"/>
      <c r="S56" s="1335"/>
      <c r="T56" s="1333"/>
      <c r="U56" s="716" t="str">
        <f>IF('Equipment Combat'!I94="","",'Equipment Combat'!I94)</f>
        <v/>
      </c>
      <c r="V56" s="717" t="str">
        <f>IF('Equipment Combat'!I148="Stowed","["&amp;IF('Equipment Combat'!I255&lt;0.1,"",IF('Equipment Combat'!I255&lt;1,INT(10*'Equipment Combat'!I255)&amp;"L",INT('Equipment Combat'!I255)&amp;"B"))&amp;"]",IF('Equipment Combat'!I311&lt;0.1,"",IF('Equipment Combat'!I311&lt;1,INT(10*'Equipment Combat'!I311)&amp;"L",INT('Equipment Combat'!I311)&amp;"B")))</f>
        <v/>
      </c>
      <c r="W56" s="1332" t="str">
        <f>IF('Equipment Combat'!I54="","",'Equipment Combat'!I54&amp;" ("&amp;'Equipment Combat'!I161&amp;")")</f>
        <v/>
      </c>
      <c r="X56" s="1333"/>
      <c r="Y56" s="1335"/>
      <c r="Z56" s="1333"/>
      <c r="AA56" s="716" t="str">
        <f>IF('Equipment Combat'!I107="","",'Equipment Combat'!I107)</f>
        <v/>
      </c>
      <c r="AB56" s="717" t="str">
        <f>IF('Equipment Combat'!I161="Stowed","["&amp;IF('Equipment Combat'!I268&lt;0.1,"",IF('Equipment Combat'!I268&lt;1,INT(10*'Equipment Combat'!I268)&amp;"L",INT('Equipment Combat'!I268)&amp;"B"))&amp;"]",IF('Equipment Combat'!I324&lt;0.1,"",IF('Equipment Combat'!I324&lt;1,INT(10*'Equipment Combat'!I324)&amp;"L",INT('Equipment Combat'!I324)&amp;"B")))</f>
        <v/>
      </c>
      <c r="AC56" s="637"/>
    </row>
    <row r="57" spans="1:29" ht="19.5" customHeight="1" x14ac:dyDescent="0.25">
      <c r="A57" s="656"/>
      <c r="B57" s="1332" t="str">
        <f>IF('Equipment Combat'!I16="","",'Equipment Combat'!I16&amp;" ("&amp;'Equipment Combat'!I123&amp;")")</f>
        <v>+1 Dagger (1d4) (Held)</v>
      </c>
      <c r="C57" s="1333"/>
      <c r="D57" s="1333"/>
      <c r="E57" s="1334"/>
      <c r="F57" s="1335"/>
      <c r="G57" s="716">
        <f>IF('Equipment Combat'!I69="","",'Equipment Combat'!I69)</f>
        <v>1</v>
      </c>
      <c r="H57" s="717" t="str">
        <f>IF('Equipment Combat'!I123="Stowed","["&amp;IF('Equipment Combat'!I230&lt;0.1,"",IF('Equipment Combat'!I230&lt;1,INT(10*'Equipment Combat'!I230)&amp;"L",INT('Equipment Combat'!I230)&amp;"B"))&amp;"]",IF('Equipment Combat'!I286&lt;0.1,"",IF('Equipment Combat'!I286&lt;1,INT(10*'Equipment Combat'!I286)&amp;"L",INT('Equipment Combat'!I286)&amp;"B")))</f>
        <v>1L</v>
      </c>
      <c r="I57" s="1332" t="str">
        <f>IF('Equipment Combat'!I29="","",'Equipment Combat'!I29&amp;" ("&amp;'Equipment Combat'!I136&amp;")")</f>
        <v/>
      </c>
      <c r="J57" s="1333"/>
      <c r="K57" s="1334"/>
      <c r="L57" s="1335"/>
      <c r="M57" s="1333"/>
      <c r="N57" s="716" t="str">
        <f>IF('Equipment Combat'!I82="","",'Equipment Combat'!I82)</f>
        <v/>
      </c>
      <c r="O57" s="717" t="str">
        <f>IF('Equipment Combat'!I136="Stowed","["&amp;IF('Equipment Combat'!I243&lt;0.1,"",IF('Equipment Combat'!I243&lt;1,INT(10*'Equipment Combat'!I243)&amp;"L",INT('Equipment Combat'!I243)&amp;"B"))&amp;"]",IF('Equipment Combat'!I299&lt;0.1,"",IF('Equipment Combat'!I299&lt;1,INT(10*'Equipment Combat'!I299)&amp;"L",INT('Equipment Combat'!I299)&amp;"B")))</f>
        <v/>
      </c>
      <c r="P57" s="1332" t="str">
        <f>IF('Equipment Combat'!I42="","",'Equipment Combat'!I42&amp;" ("&amp;'Equipment Combat'!I149&amp;")")</f>
        <v/>
      </c>
      <c r="Q57" s="1333"/>
      <c r="R57" s="1334"/>
      <c r="S57" s="1335"/>
      <c r="T57" s="1333"/>
      <c r="U57" s="716" t="str">
        <f>IF('Equipment Combat'!I95="","",'Equipment Combat'!I95)</f>
        <v/>
      </c>
      <c r="V57" s="717" t="str">
        <f>IF('Equipment Combat'!I149="Stowed","["&amp;IF('Equipment Combat'!I256&lt;0.1,"",IF('Equipment Combat'!I256&lt;1,INT(10*'Equipment Combat'!I256)&amp;"L",INT('Equipment Combat'!I256)&amp;"B"))&amp;"]",IF('Equipment Combat'!I312&lt;0.1,"",IF('Equipment Combat'!I312&lt;1,INT(10*'Equipment Combat'!I312)&amp;"L",INT('Equipment Combat'!I312)&amp;"B")))</f>
        <v/>
      </c>
      <c r="W57" s="1332" t="str">
        <f>IF('Equipment Combat'!I55="","",'Equipment Combat'!I55&amp;" ("&amp;'Equipment Combat'!I162&amp;")")</f>
        <v/>
      </c>
      <c r="X57" s="1333"/>
      <c r="Y57" s="1335"/>
      <c r="Z57" s="1333"/>
      <c r="AA57" s="716" t="str">
        <f>IF('Equipment Combat'!I108="","",'Equipment Combat'!I108)</f>
        <v/>
      </c>
      <c r="AB57" s="717" t="str">
        <f>IF('Equipment Combat'!I162="Stowed","["&amp;IF('Equipment Combat'!I269&lt;0.1,"",IF('Equipment Combat'!I269&lt;1,INT(10*'Equipment Combat'!I269)&amp;"L",INT('Equipment Combat'!I269)&amp;"B"))&amp;"]",IF('Equipment Combat'!I325&lt;0.1,"",IF('Equipment Combat'!I325&lt;1,INT(10*'Equipment Combat'!I325)&amp;"L",INT('Equipment Combat'!I325)&amp;"B")))</f>
        <v/>
      </c>
      <c r="AC57" s="637"/>
    </row>
    <row r="58" spans="1:29" ht="19.5" customHeight="1" x14ac:dyDescent="0.25">
      <c r="A58" s="656"/>
      <c r="B58" s="1332" t="str">
        <f>IF('Equipment Combat'!I17="","",'Equipment Combat'!I17&amp;" ("&amp;'Equipment Combat'!I124&amp;")")</f>
        <v>Rapier (1d6) (Worn)</v>
      </c>
      <c r="C58" s="1333"/>
      <c r="D58" s="1333"/>
      <c r="E58" s="1333"/>
      <c r="F58" s="1335"/>
      <c r="G58" s="716">
        <f>IF('Equipment Combat'!I70="","",'Equipment Combat'!I70)</f>
        <v>1</v>
      </c>
      <c r="H58" s="717" t="str">
        <f>IF('Equipment Combat'!I124="Stowed","["&amp;IF('Equipment Combat'!I231&lt;0.1,"",IF('Equipment Combat'!I231&lt;1,INT(10*'Equipment Combat'!I231)&amp;"L",INT('Equipment Combat'!I231)&amp;"B"))&amp;"]",IF('Equipment Combat'!I287&lt;0.1,"",IF('Equipment Combat'!I287&lt;1,INT(10*'Equipment Combat'!I287)&amp;"L",INT('Equipment Combat'!I287)&amp;"B")))</f>
        <v>1B</v>
      </c>
      <c r="I58" s="1332" t="str">
        <f>IF('Equipment Combat'!I30="","",'Equipment Combat'!I30&amp;" ("&amp;'Equipment Combat'!I137&amp;")")</f>
        <v/>
      </c>
      <c r="J58" s="1333"/>
      <c r="K58" s="1333"/>
      <c r="L58" s="1335"/>
      <c r="M58" s="1333"/>
      <c r="N58" s="716" t="str">
        <f>IF('Equipment Combat'!I83="","",'Equipment Combat'!I83)</f>
        <v/>
      </c>
      <c r="O58" s="717" t="str">
        <f>IF('Equipment Combat'!I137="Stowed","["&amp;IF('Equipment Combat'!I244&lt;0.1,"",IF('Equipment Combat'!I244&lt;1,INT(10*'Equipment Combat'!I244)&amp;"L",INT('Equipment Combat'!I244)&amp;"B"))&amp;"]",IF('Equipment Combat'!I300&lt;0.1,"",IF('Equipment Combat'!I300&lt;1,INT(10*'Equipment Combat'!I300)&amp;"L",INT('Equipment Combat'!I300)&amp;"B")))</f>
        <v/>
      </c>
      <c r="P58" s="1332" t="str">
        <f>IF('Equipment Combat'!I43="","",'Equipment Combat'!I43&amp;" ("&amp;'Equipment Combat'!I150&amp;")")</f>
        <v/>
      </c>
      <c r="Q58" s="1333"/>
      <c r="R58" s="1333"/>
      <c r="S58" s="1335"/>
      <c r="T58" s="1333"/>
      <c r="U58" s="716" t="str">
        <f>IF('Equipment Combat'!I96="","",'Equipment Combat'!I96)</f>
        <v/>
      </c>
      <c r="V58" s="717" t="str">
        <f>IF('Equipment Combat'!I150="Stowed","["&amp;IF('Equipment Combat'!I257&lt;0.1,"",IF('Equipment Combat'!I257&lt;1,INT(10*'Equipment Combat'!I257)&amp;"L",INT('Equipment Combat'!I257)&amp;"B"))&amp;"]",IF('Equipment Combat'!I313&lt;0.1,"",IF('Equipment Combat'!I313&lt;1,INT(10*'Equipment Combat'!I313)&amp;"L",INT('Equipment Combat'!I313)&amp;"B")))</f>
        <v/>
      </c>
      <c r="W58" s="1332" t="str">
        <f>IF('Equipment Combat'!I56="","",'Equipment Combat'!I56&amp;" ("&amp;'Equipment Combat'!I163&amp;")")</f>
        <v/>
      </c>
      <c r="X58" s="1333"/>
      <c r="Y58" s="1335"/>
      <c r="Z58" s="1333"/>
      <c r="AA58" s="716" t="str">
        <f>IF('Equipment Combat'!I109="","",'Equipment Combat'!I109)</f>
        <v/>
      </c>
      <c r="AB58" s="717" t="str">
        <f>IF('Equipment Combat'!I163="Stowed","["&amp;IF('Equipment Combat'!I270&lt;0.1,"",IF('Equipment Combat'!I270&lt;1,INT(10*'Equipment Combat'!I270)&amp;"L",INT('Equipment Combat'!I270)&amp;"B"))&amp;"]",IF('Equipment Combat'!I326&lt;0.1,"",IF('Equipment Combat'!I326&lt;1,INT(10*'Equipment Combat'!I326)&amp;"L",INT('Equipment Combat'!I326)&amp;"B")))</f>
        <v/>
      </c>
      <c r="AC58" s="637"/>
    </row>
    <row r="59" spans="1:29" ht="19.5" customHeight="1" x14ac:dyDescent="0.25">
      <c r="A59" s="656"/>
      <c r="B59" s="1332" t="str">
        <f>IF('Equipment Combat'!I18="","",'Equipment Combat'!I18&amp;" ("&amp;'Equipment Combat'!I125&amp;")")</f>
        <v>Leather Armor (+1 M4 -1/10) (Worn)</v>
      </c>
      <c r="C59" s="1333"/>
      <c r="D59" s="1333"/>
      <c r="E59" s="1333"/>
      <c r="F59" s="1335"/>
      <c r="G59" s="716">
        <f>IF('Equipment Combat'!I71="","",'Equipment Combat'!I71)</f>
        <v>1</v>
      </c>
      <c r="H59" s="717" t="str">
        <f>IF('Equipment Combat'!I125="Stowed","["&amp;IF('Equipment Combat'!I232&lt;0.1,"",IF('Equipment Combat'!I232&lt;1,INT(10*'Equipment Combat'!I232)&amp;"L",INT('Equipment Combat'!I232)&amp;"B"))&amp;"]",IF('Equipment Combat'!I288&lt;0.1,"",IF('Equipment Combat'!I288&lt;1,INT(10*'Equipment Combat'!I288)&amp;"L",INT('Equipment Combat'!I288)&amp;"B")))</f>
        <v>1B</v>
      </c>
      <c r="I59" s="1332" t="str">
        <f>IF('Equipment Combat'!I31="","",'Equipment Combat'!I31&amp;" ("&amp;'Equipment Combat'!I138&amp;")")</f>
        <v/>
      </c>
      <c r="J59" s="1333"/>
      <c r="K59" s="1333"/>
      <c r="L59" s="1335"/>
      <c r="M59" s="1333"/>
      <c r="N59" s="716" t="str">
        <f>IF('Equipment Combat'!I84="","",'Equipment Combat'!I84)</f>
        <v/>
      </c>
      <c r="O59" s="717" t="str">
        <f>IF('Equipment Combat'!I138="Stowed","["&amp;IF('Equipment Combat'!I245&lt;0.1,"",IF('Equipment Combat'!I245&lt;1,INT(10*'Equipment Combat'!I245)&amp;"L",INT('Equipment Combat'!I245)&amp;"B"))&amp;"]",IF('Equipment Combat'!I301&lt;0.1,"",IF('Equipment Combat'!I301&lt;1,INT(10*'Equipment Combat'!I301)&amp;"L",INT('Equipment Combat'!I301)&amp;"B")))</f>
        <v/>
      </c>
      <c r="P59" s="1332" t="str">
        <f>IF('Equipment Combat'!I44="","",'Equipment Combat'!I44&amp;" ("&amp;'Equipment Combat'!I151&amp;")")</f>
        <v/>
      </c>
      <c r="Q59" s="1333"/>
      <c r="R59" s="1333"/>
      <c r="S59" s="1335"/>
      <c r="T59" s="1333"/>
      <c r="U59" s="716" t="str">
        <f>IF('Equipment Combat'!I97="","",'Equipment Combat'!I97)</f>
        <v/>
      </c>
      <c r="V59" s="717" t="str">
        <f>IF('Equipment Combat'!I151="Stowed","["&amp;IF('Equipment Combat'!I258&lt;0.1,"",IF('Equipment Combat'!I258&lt;1,INT(10*'Equipment Combat'!I258)&amp;"L",INT('Equipment Combat'!I258)&amp;"B"))&amp;"]",IF('Equipment Combat'!I314&lt;0.1,"",IF('Equipment Combat'!I314&lt;1,INT(10*'Equipment Combat'!I314)&amp;"L",INT('Equipment Combat'!I314)&amp;"B")))</f>
        <v/>
      </c>
      <c r="W59" s="1332" t="str">
        <f>IF('Equipment Combat'!I57="","",'Equipment Combat'!I57&amp;" ("&amp;'Equipment Combat'!I164&amp;")")</f>
        <v/>
      </c>
      <c r="X59" s="1333"/>
      <c r="Y59" s="1335"/>
      <c r="Z59" s="1333"/>
      <c r="AA59" s="716" t="str">
        <f>IF('Equipment Combat'!I110="","",'Equipment Combat'!I110)</f>
        <v/>
      </c>
      <c r="AB59" s="717" t="str">
        <f>IF('Equipment Combat'!I164="Stowed","["&amp;IF('Equipment Combat'!I271&lt;0.1,"",IF('Equipment Combat'!I271&lt;1,INT(10*'Equipment Combat'!I271)&amp;"L",INT('Equipment Combat'!I271)&amp;"B"))&amp;"]",IF('Equipment Combat'!I327&lt;0.1,"",IF('Equipment Combat'!I327&lt;1,INT(10*'Equipment Combat'!I327)&amp;"L",INT('Equipment Combat'!I327)&amp;"B")))</f>
        <v/>
      </c>
      <c r="AC59" s="637"/>
    </row>
    <row r="60" spans="1:29" ht="19.5" customHeight="1" x14ac:dyDescent="0.25">
      <c r="A60" s="656"/>
      <c r="B60" s="1336" t="str">
        <f>IF('Equipment Combat'!I19="","",'Equipment Combat'!I19&amp;" ("&amp;'Equipment Combat'!I126&amp;")")</f>
        <v>Thieves' tools (Worn)</v>
      </c>
      <c r="C60" s="1337"/>
      <c r="D60" s="1337"/>
      <c r="E60" s="1337"/>
      <c r="F60" s="1338"/>
      <c r="G60" s="915">
        <f>IF('Equipment Combat'!I72="","",'Equipment Combat'!I72)</f>
        <v>1</v>
      </c>
      <c r="H60" s="916" t="str">
        <f>IF('Equipment Combat'!I126="Stowed","["&amp;IF('Equipment Combat'!I233&lt;0.1,"",IF('Equipment Combat'!I233&lt;1,INT(10*'Equipment Combat'!I233)&amp;"L",INT('Equipment Combat'!I233)&amp;"B"))&amp;"]",IF('Equipment Combat'!I289&lt;0.1,"",IF('Equipment Combat'!I289&lt;1,INT(10*'Equipment Combat'!I289)&amp;"L",INT('Equipment Combat'!I289)&amp;"B")))</f>
        <v>1L</v>
      </c>
      <c r="I60" s="1336" t="str">
        <f>IF('Equipment Combat'!I32="","",'Equipment Combat'!I32&amp;" ("&amp;'Equipment Combat'!I139&amp;")")</f>
        <v/>
      </c>
      <c r="J60" s="1337"/>
      <c r="K60" s="1337"/>
      <c r="L60" s="1338"/>
      <c r="M60" s="1337"/>
      <c r="N60" s="915" t="str">
        <f>IF('Equipment Combat'!I85="","",'Equipment Combat'!I85)</f>
        <v/>
      </c>
      <c r="O60" s="916" t="str">
        <f>IF('Equipment Combat'!I139="Stowed","["&amp;IF('Equipment Combat'!I246&lt;0.1,"",IF('Equipment Combat'!I246&lt;1,INT(10*'Equipment Combat'!I246)&amp;"L",INT('Equipment Combat'!I246)&amp;"B"))&amp;"]",IF('Equipment Combat'!I302&lt;0.1,"",IF('Equipment Combat'!I302&lt;1,INT(10*'Equipment Combat'!I302)&amp;"L",INT('Equipment Combat'!I302)&amp;"B")))</f>
        <v/>
      </c>
      <c r="P60" s="1336" t="str">
        <f>IF('Equipment Combat'!I45="","",'Equipment Combat'!I45&amp;" ("&amp;'Equipment Combat'!I152&amp;")")</f>
        <v/>
      </c>
      <c r="Q60" s="1337"/>
      <c r="R60" s="1337"/>
      <c r="S60" s="1338"/>
      <c r="T60" s="1337"/>
      <c r="U60" s="915" t="str">
        <f>IF('Equipment Combat'!I98="","",'Equipment Combat'!I98)</f>
        <v/>
      </c>
      <c r="V60" s="916" t="str">
        <f>IF('Equipment Combat'!I152="Stowed","["&amp;IF('Equipment Combat'!I259&lt;0.1,"",IF('Equipment Combat'!I259&lt;1,INT(10*'Equipment Combat'!I259)&amp;"L",INT('Equipment Combat'!I259)&amp;"B"))&amp;"]",IF('Equipment Combat'!I315&lt;0.1,"",IF('Equipment Combat'!I315&lt;1,INT(10*'Equipment Combat'!I315)&amp;"L",INT('Equipment Combat'!I315)&amp;"B")))</f>
        <v/>
      </c>
      <c r="W60" s="1336" t="str">
        <f>IF('Equipment Combat'!I58="","",'Equipment Combat'!I58&amp;" ("&amp;'Equipment Combat'!I165&amp;")")</f>
        <v/>
      </c>
      <c r="X60" s="1337"/>
      <c r="Y60" s="1338"/>
      <c r="Z60" s="1337"/>
      <c r="AA60" s="915" t="str">
        <f>IF('Equipment Combat'!I111="","",'Equipment Combat'!I111)</f>
        <v/>
      </c>
      <c r="AB60" s="916" t="str">
        <f>IF('Equipment Combat'!I165="Stowed","["&amp;IF('Equipment Combat'!I272&lt;0.1,"",IF('Equipment Combat'!I272&lt;1,INT(10*'Equipment Combat'!I272)&amp;"L",INT('Equipment Combat'!I272)&amp;"B"))&amp;"]",IF('Equipment Combat'!I328&lt;0.1,"",IF('Equipment Combat'!I328&lt;1,INT(10*'Equipment Combat'!I328)&amp;"L",INT('Equipment Combat'!I328)&amp;"B")))</f>
        <v/>
      </c>
      <c r="AC60" s="637"/>
    </row>
    <row r="61" spans="1:29" ht="19.5" customHeight="1" x14ac:dyDescent="0.3">
      <c r="A61" s="658"/>
      <c r="B61" s="628" t="s">
        <v>506</v>
      </c>
      <c r="C61" s="628" t="s">
        <v>507</v>
      </c>
      <c r="D61" s="628" t="s">
        <v>508</v>
      </c>
      <c r="E61" s="628" t="s">
        <v>509</v>
      </c>
      <c r="F61" s="645"/>
      <c r="G61" s="644" t="s">
        <v>339</v>
      </c>
      <c r="I61" s="644" t="s">
        <v>510</v>
      </c>
      <c r="J61" s="645"/>
      <c r="K61" s="645"/>
      <c r="L61" s="645"/>
      <c r="M61" s="644" t="s">
        <v>511</v>
      </c>
      <c r="N61" s="645"/>
      <c r="P61" s="645"/>
      <c r="Q61" s="645"/>
      <c r="R61" s="645"/>
      <c r="S61" s="1021"/>
      <c r="T61" s="1021"/>
      <c r="U61" s="1021"/>
      <c r="W61" s="1021"/>
      <c r="X61" s="1021"/>
      <c r="Y61" s="1021"/>
      <c r="Z61" s="1021"/>
      <c r="AA61" s="1021"/>
      <c r="AB61" s="1021"/>
      <c r="AC61" s="637"/>
    </row>
    <row r="62" spans="1:29" ht="19.5" customHeight="1" x14ac:dyDescent="0.3">
      <c r="A62" s="656"/>
      <c r="B62" s="718">
        <f>'Equipment Combat'!I3</f>
        <v>0</v>
      </c>
      <c r="C62" s="719">
        <f>'Equipment Combat'!I4</f>
        <v>9</v>
      </c>
      <c r="D62" s="719">
        <f>'Equipment Combat'!I5</f>
        <v>77</v>
      </c>
      <c r="E62" s="720">
        <f>'Equipment Combat'!I6</f>
        <v>0</v>
      </c>
      <c r="F62" s="1022"/>
      <c r="G62" s="772">
        <f>'Equipment Combat'!I329</f>
        <v>3</v>
      </c>
      <c r="H62" s="454"/>
      <c r="I62" s="451">
        <f>5+K62</f>
        <v>7</v>
      </c>
      <c r="J62" s="453" t="s">
        <v>512</v>
      </c>
      <c r="K62" s="452">
        <f>'Equipment Combat'!I331</f>
        <v>2</v>
      </c>
      <c r="L62" s="454"/>
      <c r="M62" s="451">
        <f>10+O62</f>
        <v>12</v>
      </c>
      <c r="N62" s="453" t="s">
        <v>513</v>
      </c>
      <c r="O62" s="452">
        <f>K62</f>
        <v>2</v>
      </c>
      <c r="P62" s="454"/>
      <c r="Q62" s="644" t="s">
        <v>505</v>
      </c>
      <c r="R62" s="1544" t="str">
        <f>'Equipment Combat'!I333</f>
        <v>Fine</v>
      </c>
      <c r="S62" s="1545"/>
      <c r="T62" s="1545"/>
      <c r="U62" s="1545"/>
      <c r="V62" s="1545"/>
      <c r="W62" s="1546"/>
      <c r="X62" s="1544" t="str">
        <f>'Equipment Combat'!I274</f>
        <v>Backpack OK</v>
      </c>
      <c r="Y62" s="1545"/>
      <c r="Z62" s="1545"/>
      <c r="AA62" s="1545"/>
      <c r="AB62" s="1546"/>
      <c r="AC62" s="637"/>
    </row>
    <row r="63" spans="1:29" ht="19.5" customHeight="1" x14ac:dyDescent="0.3">
      <c r="A63" s="658"/>
      <c r="B63" s="657" t="s">
        <v>27</v>
      </c>
      <c r="C63" s="628"/>
      <c r="D63" s="628"/>
      <c r="E63" s="628"/>
      <c r="F63" s="1022"/>
      <c r="G63" s="628"/>
      <c r="H63" s="645"/>
      <c r="I63" s="628"/>
      <c r="J63" s="659"/>
      <c r="K63" s="628"/>
      <c r="L63" s="645"/>
      <c r="M63" s="628"/>
      <c r="N63" s="659"/>
      <c r="O63" s="628"/>
      <c r="P63" s="645"/>
      <c r="Q63" s="644"/>
      <c r="R63" s="645"/>
      <c r="S63" s="644"/>
      <c r="T63" s="1021"/>
      <c r="U63" s="1021"/>
      <c r="V63" s="1021"/>
      <c r="W63" s="1021"/>
      <c r="X63" s="1021"/>
      <c r="Y63" s="1021"/>
      <c r="Z63" s="1021"/>
      <c r="AA63" s="1021"/>
      <c r="AB63" s="1021"/>
      <c r="AC63" s="637"/>
    </row>
    <row r="64" spans="1:29" ht="19.5" customHeight="1" x14ac:dyDescent="0.25">
      <c r="A64" s="660"/>
      <c r="B64" s="661"/>
      <c r="C64" s="661" t="s">
        <v>106</v>
      </c>
      <c r="D64" s="661"/>
      <c r="E64" s="661"/>
      <c r="F64" s="498"/>
      <c r="G64" s="661"/>
      <c r="H64" s="662"/>
      <c r="I64" s="661"/>
      <c r="J64" s="663"/>
      <c r="K64" s="661" t="s">
        <v>330</v>
      </c>
      <c r="L64" s="662"/>
      <c r="M64" s="661"/>
      <c r="N64" s="664" t="s">
        <v>490</v>
      </c>
      <c r="O64" s="661"/>
      <c r="P64" s="661"/>
      <c r="Q64" s="661" t="s">
        <v>106</v>
      </c>
      <c r="R64" s="661"/>
      <c r="S64" s="661"/>
      <c r="T64" s="498"/>
      <c r="U64" s="661"/>
      <c r="V64" s="662"/>
      <c r="W64" s="661"/>
      <c r="X64" s="663"/>
      <c r="Y64" s="661" t="s">
        <v>330</v>
      </c>
      <c r="Z64" s="662"/>
      <c r="AA64" s="661"/>
      <c r="AB64" s="664" t="s">
        <v>490</v>
      </c>
      <c r="AC64" s="637"/>
    </row>
    <row r="65" spans="1:29" ht="19.5" customHeight="1" x14ac:dyDescent="0.25">
      <c r="A65" s="656"/>
      <c r="B65" s="1410" t="str">
        <f>IF(Feats!I5="","",Feats!I5)</f>
        <v>Goblin Scuttle</v>
      </c>
      <c r="C65" s="1411"/>
      <c r="D65" s="1411"/>
      <c r="E65" s="1411"/>
      <c r="F65" s="1411"/>
      <c r="G65" s="1411"/>
      <c r="H65" s="1411"/>
      <c r="I65" s="1411"/>
      <c r="J65" s="1411" t="str">
        <f>IF(Feats!I5="","",Feats!M5)</f>
        <v>Ancestry feat</v>
      </c>
      <c r="K65" s="1411"/>
      <c r="L65" s="1411"/>
      <c r="M65" s="1411"/>
      <c r="N65" s="1412">
        <f>IF(Feats!I5="","",Feats!L5)</f>
        <v>1</v>
      </c>
      <c r="O65" s="1413"/>
      <c r="P65" s="1410" t="str">
        <f>IF(Feats!I29="","",Feats!I29)</f>
        <v>Strong Arm</v>
      </c>
      <c r="Q65" s="1411"/>
      <c r="R65" s="1411"/>
      <c r="S65" s="1411"/>
      <c r="T65" s="1411"/>
      <c r="U65" s="1411"/>
      <c r="V65" s="1411"/>
      <c r="W65" s="1411"/>
      <c r="X65" s="1411" t="str">
        <f>IF(Feats!I29="","",Feats!M29)</f>
        <v>Class feat</v>
      </c>
      <c r="Y65" s="1411"/>
      <c r="Z65" s="1411"/>
      <c r="AA65" s="1411"/>
      <c r="AB65" s="1412">
        <f>IF(Feats!I29="","",Feats!L29)</f>
        <v>4</v>
      </c>
      <c r="AC65" s="637"/>
    </row>
    <row r="66" spans="1:29" ht="19.5" customHeight="1" x14ac:dyDescent="0.25">
      <c r="A66" s="656"/>
      <c r="B66" s="1414" t="str">
        <f>IF(Feats!I6="","",Feats!I6)</f>
        <v>Darkvision</v>
      </c>
      <c r="C66" s="1415"/>
      <c r="D66" s="1415"/>
      <c r="E66" s="1415"/>
      <c r="F66" s="1415"/>
      <c r="G66" s="1415"/>
      <c r="H66" s="1415"/>
      <c r="I66" s="1415"/>
      <c r="J66" s="1415" t="str">
        <f>IF(Feats!I6="","",Feats!M6)</f>
        <v>Ancestry vision</v>
      </c>
      <c r="K66" s="1415"/>
      <c r="L66" s="1415"/>
      <c r="M66" s="1415"/>
      <c r="N66" s="1416">
        <f>IF(Feats!I6="","",Feats!L6)</f>
        <v>1</v>
      </c>
      <c r="O66" s="1413"/>
      <c r="P66" s="1414" t="str">
        <f>IF(Feats!I30="","",Feats!I30)</f>
        <v>Expert in Stealth</v>
      </c>
      <c r="Q66" s="1415"/>
      <c r="R66" s="1415"/>
      <c r="S66" s="1415"/>
      <c r="T66" s="1415"/>
      <c r="U66" s="1415"/>
      <c r="V66" s="1415"/>
      <c r="W66" s="1415"/>
      <c r="X66" s="1415" t="str">
        <f>IF(Feats!I30="","",Feats!M30)</f>
        <v>Skill increase (Rogue)</v>
      </c>
      <c r="Y66" s="1415"/>
      <c r="Z66" s="1415"/>
      <c r="AA66" s="1415"/>
      <c r="AB66" s="1416">
        <f>IF(Feats!I30="","",Feats!L30)</f>
        <v>4</v>
      </c>
      <c r="AC66" s="637"/>
    </row>
    <row r="67" spans="1:29" ht="19.5" customHeight="1" x14ac:dyDescent="0.25">
      <c r="A67" s="656"/>
      <c r="B67" s="1414" t="str">
        <f>IF(Feats!I7="","",Feats!I7)</f>
        <v>Seasoned</v>
      </c>
      <c r="C67" s="1415"/>
      <c r="D67" s="1415"/>
      <c r="E67" s="1415"/>
      <c r="F67" s="1415"/>
      <c r="G67" s="1415"/>
      <c r="H67" s="1415"/>
      <c r="I67" s="1415"/>
      <c r="J67" s="1415" t="str">
        <f>IF(Feats!I7="","",Feats!M7)</f>
        <v>Background Skill feat</v>
      </c>
      <c r="K67" s="1415"/>
      <c r="L67" s="1415"/>
      <c r="M67" s="1415"/>
      <c r="N67" s="1416">
        <f>IF(Feats!I7="","",Feats!L7)</f>
        <v>1</v>
      </c>
      <c r="O67" s="1413"/>
      <c r="P67" s="1414" t="str">
        <f>IF(Feats!I31="","",Feats!I31)</f>
        <v>Sneak attack 2d6</v>
      </c>
      <c r="Q67" s="1415"/>
      <c r="R67" s="1415"/>
      <c r="S67" s="1415"/>
      <c r="T67" s="1415"/>
      <c r="U67" s="1415"/>
      <c r="V67" s="1415"/>
      <c r="W67" s="1415"/>
      <c r="X67" s="1415" t="str">
        <f>IF(Feats!I31="","",Feats!M31)</f>
        <v>Class ability</v>
      </c>
      <c r="Y67" s="1415"/>
      <c r="Z67" s="1415"/>
      <c r="AA67" s="1415"/>
      <c r="AB67" s="1416">
        <f>IF(Feats!I31="","",Feats!L31)</f>
        <v>5</v>
      </c>
      <c r="AC67" s="637"/>
    </row>
    <row r="68" spans="1:29" ht="19.5" customHeight="1" x14ac:dyDescent="0.25">
      <c r="A68" s="656"/>
      <c r="B68" s="1414" t="str">
        <f>IF(Feats!I8="","",Feats!I8)</f>
        <v>Racket = Thief</v>
      </c>
      <c r="C68" s="1415"/>
      <c r="D68" s="1415"/>
      <c r="E68" s="1415"/>
      <c r="F68" s="1415"/>
      <c r="G68" s="1415"/>
      <c r="H68" s="1415"/>
      <c r="I68" s="1415"/>
      <c r="J68" s="1415" t="str">
        <f>IF(Feats!I8="","",Feats!M8)</f>
        <v>Class details</v>
      </c>
      <c r="K68" s="1415"/>
      <c r="L68" s="1415"/>
      <c r="M68" s="1415"/>
      <c r="N68" s="1416">
        <f>IF(Feats!I8="","",Feats!L8)</f>
        <v>1</v>
      </c>
      <c r="O68" s="1413"/>
      <c r="P68" s="1414" t="str">
        <f>IF(Feats!I32="","",Feats!I32)</f>
        <v>Weapon tricks</v>
      </c>
      <c r="Q68" s="1415"/>
      <c r="R68" s="1415"/>
      <c r="S68" s="1415"/>
      <c r="T68" s="1415"/>
      <c r="U68" s="1415"/>
      <c r="V68" s="1415"/>
      <c r="W68" s="1415"/>
      <c r="X68" s="1415" t="str">
        <f>IF(Feats!I32="","",Feats!M32)</f>
        <v>Class ability</v>
      </c>
      <c r="Y68" s="1415"/>
      <c r="Z68" s="1415"/>
      <c r="AA68" s="1415"/>
      <c r="AB68" s="1416">
        <f>IF(Feats!I32="","",Feats!L32)</f>
        <v>5</v>
      </c>
      <c r="AC68" s="637"/>
    </row>
    <row r="69" spans="1:29" ht="19.5" customHeight="1" x14ac:dyDescent="0.25">
      <c r="A69" s="656"/>
      <c r="B69" s="1414" t="str">
        <f>IF(Feats!I9="","",Feats!I9)</f>
        <v/>
      </c>
      <c r="C69" s="1415"/>
      <c r="D69" s="1415"/>
      <c r="E69" s="1415"/>
      <c r="F69" s="1415"/>
      <c r="G69" s="1415"/>
      <c r="H69" s="1415"/>
      <c r="I69" s="1415"/>
      <c r="J69" s="1415" t="str">
        <f>IF(Feats!I9="","",Feats!M9)</f>
        <v/>
      </c>
      <c r="K69" s="1415"/>
      <c r="L69" s="1415"/>
      <c r="M69" s="1415"/>
      <c r="N69" s="1416" t="str">
        <f>IF(Feats!I9="","",Feats!L9)</f>
        <v/>
      </c>
      <c r="O69" s="1413"/>
      <c r="P69" s="1414" t="str">
        <f>IF(Feats!I33="","",Feats!I33)</f>
        <v>Ankle Bite</v>
      </c>
      <c r="Q69" s="1415"/>
      <c r="R69" s="1415"/>
      <c r="S69" s="1415"/>
      <c r="T69" s="1415"/>
      <c r="U69" s="1415"/>
      <c r="V69" s="1415"/>
      <c r="W69" s="1415"/>
      <c r="X69" s="1415" t="str">
        <f>IF(Feats!I33="","",Feats!M33)</f>
        <v>Ancestry feat</v>
      </c>
      <c r="Y69" s="1415"/>
      <c r="Z69" s="1415"/>
      <c r="AA69" s="1415"/>
      <c r="AB69" s="1416">
        <f>IF(Feats!I33="","",Feats!L33)</f>
        <v>5</v>
      </c>
      <c r="AC69" s="637"/>
    </row>
    <row r="70" spans="1:29" ht="19.5" customHeight="1" x14ac:dyDescent="0.25">
      <c r="A70" s="656"/>
      <c r="B70" s="1414" t="str">
        <f>IF(Feats!I10="","",Feats!I10)</f>
        <v>Sneak attack 1d6</v>
      </c>
      <c r="C70" s="1415"/>
      <c r="D70" s="1415"/>
      <c r="E70" s="1415"/>
      <c r="F70" s="1415"/>
      <c r="G70" s="1415"/>
      <c r="H70" s="1415"/>
      <c r="I70" s="1415"/>
      <c r="J70" s="1415" t="str">
        <f>IF(Feats!I10="","",Feats!M10)</f>
        <v>Class ability</v>
      </c>
      <c r="K70" s="1415"/>
      <c r="L70" s="1415"/>
      <c r="M70" s="1415"/>
      <c r="N70" s="1416">
        <f>IF(Feats!I10="","",Feats!L10)</f>
        <v>1</v>
      </c>
      <c r="O70" s="1413"/>
      <c r="P70" s="1414" t="str">
        <f>IF(Feats!I34="","",Feats!I34)</f>
        <v>Expert in Intimidation</v>
      </c>
      <c r="Q70" s="1415"/>
      <c r="R70" s="1415"/>
      <c r="S70" s="1415"/>
      <c r="T70" s="1415"/>
      <c r="U70" s="1415"/>
      <c r="V70" s="1415"/>
      <c r="W70" s="1415"/>
      <c r="X70" s="1415" t="str">
        <f>IF(Feats!I34="","",Feats!M34)</f>
        <v>Skill increase</v>
      </c>
      <c r="Y70" s="1415"/>
      <c r="Z70" s="1415"/>
      <c r="AA70" s="1415"/>
      <c r="AB70" s="1416">
        <f>IF(Feats!I34="","",Feats!L34)</f>
        <v>5</v>
      </c>
      <c r="AC70" s="637"/>
    </row>
    <row r="71" spans="1:29" ht="19.5" customHeight="1" x14ac:dyDescent="0.25">
      <c r="A71" s="656"/>
      <c r="B71" s="1414" t="str">
        <f>IF(Feats!I11="","",Feats!I11)</f>
        <v>Surprise attack</v>
      </c>
      <c r="C71" s="1415"/>
      <c r="D71" s="1415"/>
      <c r="E71" s="1415"/>
      <c r="F71" s="1415"/>
      <c r="G71" s="1415"/>
      <c r="H71" s="1415"/>
      <c r="I71" s="1415"/>
      <c r="J71" s="1415" t="str">
        <f>IF(Feats!I11="","",Feats!M11)</f>
        <v>Class ability</v>
      </c>
      <c r="K71" s="1415"/>
      <c r="L71" s="1415"/>
      <c r="M71" s="1415"/>
      <c r="N71" s="1416">
        <f>IF(Feats!I11="","",Feats!L11)</f>
        <v>1</v>
      </c>
      <c r="O71" s="1413"/>
      <c r="P71" s="1414" t="str">
        <f>IF(Feats!I35="","",Feats!I35)</f>
        <v>Armored Stealth (E Stealth)</v>
      </c>
      <c r="Q71" s="1415"/>
      <c r="R71" s="1415"/>
      <c r="S71" s="1415"/>
      <c r="T71" s="1415"/>
      <c r="U71" s="1415"/>
      <c r="V71" s="1415"/>
      <c r="W71" s="1415"/>
      <c r="X71" s="1415" t="str">
        <f>IF(Feats!I35="","",Feats!M35)</f>
        <v>Skill feat (Rogue)</v>
      </c>
      <c r="Y71" s="1415"/>
      <c r="Z71" s="1415"/>
      <c r="AA71" s="1415"/>
      <c r="AB71" s="1416">
        <f>IF(Feats!I35="","",Feats!L35)</f>
        <v>5</v>
      </c>
      <c r="AC71" s="637"/>
    </row>
    <row r="72" spans="1:29" ht="19.5" customHeight="1" x14ac:dyDescent="0.25">
      <c r="A72" s="656"/>
      <c r="B72" s="1414" t="str">
        <f>IF(Feats!I12="","",Feats!I12)</f>
        <v>Racket = DEX dmg on finesse</v>
      </c>
      <c r="C72" s="1415"/>
      <c r="D72" s="1415"/>
      <c r="E72" s="1415"/>
      <c r="F72" s="1415"/>
      <c r="G72" s="1415"/>
      <c r="H72" s="1415"/>
      <c r="I72" s="1415"/>
      <c r="J72" s="1415" t="str">
        <f>IF(Feats!I12="","",Feats!M12)</f>
        <v>Class ability</v>
      </c>
      <c r="K72" s="1415"/>
      <c r="L72" s="1415"/>
      <c r="M72" s="1415"/>
      <c r="N72" s="1416">
        <f>IF(Feats!I12="","",Feats!L12)</f>
        <v>1</v>
      </c>
      <c r="O72" s="1413"/>
      <c r="P72" s="1414" t="str">
        <f>IF(Feats!I36="","",Feats!I36)</f>
        <v/>
      </c>
      <c r="Q72" s="1415"/>
      <c r="R72" s="1415"/>
      <c r="S72" s="1415"/>
      <c r="T72" s="1415"/>
      <c r="U72" s="1415"/>
      <c r="V72" s="1415"/>
      <c r="W72" s="1415"/>
      <c r="X72" s="1415" t="str">
        <f>IF(Feats!I36="","",Feats!M36)</f>
        <v/>
      </c>
      <c r="Y72" s="1415"/>
      <c r="Z72" s="1415"/>
      <c r="AA72" s="1415"/>
      <c r="AB72" s="1416" t="str">
        <f>IF(Feats!I36="","",Feats!L36)</f>
        <v/>
      </c>
      <c r="AC72" s="637"/>
    </row>
    <row r="73" spans="1:29" ht="19.5" hidden="1" customHeight="1" outlineLevel="1" x14ac:dyDescent="0.25">
      <c r="A73" s="656"/>
      <c r="B73" s="1414" t="str">
        <f>IF(Feats!I13="","",Feats!I13)</f>
        <v/>
      </c>
      <c r="C73" s="1415"/>
      <c r="D73" s="1415"/>
      <c r="E73" s="1415"/>
      <c r="F73" s="1415"/>
      <c r="G73" s="1415"/>
      <c r="H73" s="1415"/>
      <c r="I73" s="1415"/>
      <c r="J73" s="1415" t="str">
        <f>IF(Feats!I13="","",Feats!M13)</f>
        <v/>
      </c>
      <c r="K73" s="1415"/>
      <c r="L73" s="1415"/>
      <c r="M73" s="1415"/>
      <c r="N73" s="1416" t="str">
        <f>IF(Feats!I13="","",Feats!L13)</f>
        <v/>
      </c>
      <c r="O73" s="1413"/>
      <c r="P73" s="1414" t="str">
        <f>IF(Feats!I37="","",Feats!I37)</f>
        <v/>
      </c>
      <c r="Q73" s="1415"/>
      <c r="R73" s="1415"/>
      <c r="S73" s="1415"/>
      <c r="T73" s="1415"/>
      <c r="U73" s="1415"/>
      <c r="V73" s="1415"/>
      <c r="W73" s="1415"/>
      <c r="X73" s="1415" t="str">
        <f>IF(Feats!I37="","",Feats!M37)</f>
        <v/>
      </c>
      <c r="Y73" s="1415"/>
      <c r="Z73" s="1415"/>
      <c r="AA73" s="1415"/>
      <c r="AB73" s="1416" t="str">
        <f>IF(Feats!I37="","",Feats!L37)</f>
        <v/>
      </c>
      <c r="AC73" s="637"/>
    </row>
    <row r="74" spans="1:29" ht="19.5" hidden="1" customHeight="1" outlineLevel="1" x14ac:dyDescent="0.25">
      <c r="A74" s="656"/>
      <c r="B74" s="1414" t="str">
        <f>IF(Feats!I14="","",Feats!I14)</f>
        <v/>
      </c>
      <c r="C74" s="1415"/>
      <c r="D74" s="1415"/>
      <c r="E74" s="1415"/>
      <c r="F74" s="1415"/>
      <c r="G74" s="1415"/>
      <c r="H74" s="1415"/>
      <c r="I74" s="1415"/>
      <c r="J74" s="1415" t="str">
        <f>IF(Feats!I14="","",Feats!M14)</f>
        <v/>
      </c>
      <c r="K74" s="1415"/>
      <c r="L74" s="1415"/>
      <c r="M74" s="1415"/>
      <c r="N74" s="1416" t="str">
        <f>IF(Feats!I14="","",Feats!L14)</f>
        <v/>
      </c>
      <c r="O74" s="1413"/>
      <c r="P74" s="1414" t="str">
        <f>IF(Feats!I38="","",Feats!I38)</f>
        <v/>
      </c>
      <c r="Q74" s="1415"/>
      <c r="R74" s="1415"/>
      <c r="S74" s="1415"/>
      <c r="T74" s="1415"/>
      <c r="U74" s="1415"/>
      <c r="V74" s="1415"/>
      <c r="W74" s="1415"/>
      <c r="X74" s="1415" t="str">
        <f>IF(Feats!I38="","",Feats!M38)</f>
        <v/>
      </c>
      <c r="Y74" s="1415"/>
      <c r="Z74" s="1415"/>
      <c r="AA74" s="1415"/>
      <c r="AB74" s="1416" t="str">
        <f>IF(Feats!I38="","",Feats!L38)</f>
        <v/>
      </c>
      <c r="AC74" s="637"/>
    </row>
    <row r="75" spans="1:29" ht="19.5" hidden="1" customHeight="1" outlineLevel="1" x14ac:dyDescent="0.25">
      <c r="A75" s="656"/>
      <c r="B75" s="1414" t="str">
        <f>IF(Feats!I15="","",Feats!I15)</f>
        <v/>
      </c>
      <c r="C75" s="1415"/>
      <c r="D75" s="1415"/>
      <c r="E75" s="1415"/>
      <c r="F75" s="1415"/>
      <c r="G75" s="1415"/>
      <c r="H75" s="1415"/>
      <c r="I75" s="1415"/>
      <c r="J75" s="1415" t="str">
        <f>IF(Feats!I15="","",Feats!M15)</f>
        <v/>
      </c>
      <c r="K75" s="1415"/>
      <c r="L75" s="1415"/>
      <c r="M75" s="1415"/>
      <c r="N75" s="1416" t="str">
        <f>IF(Feats!I15="","",Feats!L15)</f>
        <v/>
      </c>
      <c r="O75" s="1413"/>
      <c r="P75" s="1414" t="str">
        <f>IF(Feats!I39="","",Feats!I39)</f>
        <v/>
      </c>
      <c r="Q75" s="1415"/>
      <c r="R75" s="1415"/>
      <c r="S75" s="1415"/>
      <c r="T75" s="1415"/>
      <c r="U75" s="1415"/>
      <c r="V75" s="1415"/>
      <c r="W75" s="1415"/>
      <c r="X75" s="1415" t="str">
        <f>IF(Feats!I39="","",Feats!M39)</f>
        <v/>
      </c>
      <c r="Y75" s="1415"/>
      <c r="Z75" s="1415"/>
      <c r="AA75" s="1415"/>
      <c r="AB75" s="1416" t="str">
        <f>IF(Feats!I39="","",Feats!L39)</f>
        <v/>
      </c>
      <c r="AC75" s="637"/>
    </row>
    <row r="76" spans="1:29" ht="19.5" customHeight="1" collapsed="1" x14ac:dyDescent="0.25">
      <c r="A76" s="656"/>
      <c r="B76" s="1414" t="str">
        <f>IF(Feats!I16="","",Feats!I16)</f>
        <v>Nimble Dodge</v>
      </c>
      <c r="C76" s="1415"/>
      <c r="D76" s="1415"/>
      <c r="E76" s="1415"/>
      <c r="F76" s="1415"/>
      <c r="G76" s="1415"/>
      <c r="H76" s="1415"/>
      <c r="I76" s="1415"/>
      <c r="J76" s="1415" t="str">
        <f>IF(Feats!I16="","",Feats!M16)</f>
        <v>Class feat</v>
      </c>
      <c r="K76" s="1415"/>
      <c r="L76" s="1415"/>
      <c r="M76" s="1415"/>
      <c r="N76" s="1416">
        <f>IF(Feats!I16="","",Feats!L16)</f>
        <v>1</v>
      </c>
      <c r="O76" s="1413"/>
      <c r="P76" s="1414" t="str">
        <f>IF(Feats!I40="","",Feats!I40)</f>
        <v/>
      </c>
      <c r="Q76" s="1415"/>
      <c r="R76" s="1415"/>
      <c r="S76" s="1415"/>
      <c r="T76" s="1415"/>
      <c r="U76" s="1415"/>
      <c r="V76" s="1415"/>
      <c r="W76" s="1415"/>
      <c r="X76" s="1415" t="str">
        <f>IF(Feats!I40="","",Feats!M40)</f>
        <v/>
      </c>
      <c r="Y76" s="1415"/>
      <c r="Z76" s="1415"/>
      <c r="AA76" s="1415"/>
      <c r="AB76" s="1416" t="str">
        <f>IF(Feats!I40="","",Feats!L40)</f>
        <v/>
      </c>
      <c r="AC76" s="637"/>
    </row>
    <row r="77" spans="1:29" ht="19.5" customHeight="1" x14ac:dyDescent="0.25">
      <c r="A77" s="656"/>
      <c r="B77" s="1414" t="str">
        <f>IF(Feats!I17="","",Feats!I17)</f>
        <v>Subtle Theft (T Thievery)</v>
      </c>
      <c r="C77" s="1415"/>
      <c r="D77" s="1415"/>
      <c r="E77" s="1415"/>
      <c r="F77" s="1415"/>
      <c r="G77" s="1415"/>
      <c r="H77" s="1415"/>
      <c r="I77" s="1415"/>
      <c r="J77" s="1415" t="str">
        <f>IF(Feats!I17="","",Feats!M17)</f>
        <v>Skill feat (Rogue)</v>
      </c>
      <c r="K77" s="1415"/>
      <c r="L77" s="1415"/>
      <c r="M77" s="1415"/>
      <c r="N77" s="1416">
        <f>IF(Feats!I17="","",Feats!L17)</f>
        <v>1</v>
      </c>
      <c r="O77" s="1413"/>
      <c r="P77" s="1414" t="str">
        <f>IF(Feats!I41="","",Feats!I41)</f>
        <v/>
      </c>
      <c r="Q77" s="1415"/>
      <c r="R77" s="1415"/>
      <c r="S77" s="1415"/>
      <c r="T77" s="1415"/>
      <c r="U77" s="1415"/>
      <c r="V77" s="1415"/>
      <c r="W77" s="1415"/>
      <c r="X77" s="1415" t="str">
        <f>IF(Feats!I41="","",Feats!M41)</f>
        <v/>
      </c>
      <c r="Y77" s="1415"/>
      <c r="Z77" s="1415"/>
      <c r="AA77" s="1415"/>
      <c r="AB77" s="1416" t="str">
        <f>IF(Feats!I41="","",Feats!L41)</f>
        <v/>
      </c>
      <c r="AC77" s="637"/>
    </row>
    <row r="78" spans="1:29" ht="19.5" customHeight="1" x14ac:dyDescent="0.25">
      <c r="A78" s="656"/>
      <c r="B78" s="1414" t="str">
        <f>IF(Feats!I18="","",Feats!I18)</f>
        <v>Cat Fall (T Acrobatics)</v>
      </c>
      <c r="C78" s="1415"/>
      <c r="D78" s="1415"/>
      <c r="E78" s="1415"/>
      <c r="F78" s="1415"/>
      <c r="G78" s="1415"/>
      <c r="H78" s="1415"/>
      <c r="I78" s="1415"/>
      <c r="J78" s="1415" t="str">
        <f>IF(Feats!I18="","",Feats!M18)</f>
        <v>Skill feat</v>
      </c>
      <c r="K78" s="1415"/>
      <c r="L78" s="1415"/>
      <c r="M78" s="1415"/>
      <c r="N78" s="1416">
        <f>IF(Feats!I18="","",Feats!L18)</f>
        <v>2</v>
      </c>
      <c r="O78" s="1413"/>
      <c r="P78" s="1414" t="str">
        <f>IF(Feats!I42="","",Feats!I42)</f>
        <v/>
      </c>
      <c r="Q78" s="1415"/>
      <c r="R78" s="1415"/>
      <c r="S78" s="1415"/>
      <c r="T78" s="1415"/>
      <c r="U78" s="1415"/>
      <c r="V78" s="1415"/>
      <c r="W78" s="1415"/>
      <c r="X78" s="1415" t="str">
        <f>IF(Feats!I42="","",Feats!M42)</f>
        <v/>
      </c>
      <c r="Y78" s="1415"/>
      <c r="Z78" s="1415"/>
      <c r="AA78" s="1415"/>
      <c r="AB78" s="1416" t="str">
        <f>IF(Feats!I42="","",Feats!L42)</f>
        <v/>
      </c>
      <c r="AC78" s="637"/>
    </row>
    <row r="79" spans="1:29" ht="19.5" customHeight="1" x14ac:dyDescent="0.25">
      <c r="A79" s="656"/>
      <c r="B79" s="1414" t="str">
        <f>IF(Feats!I19="","",Feats!I19)</f>
        <v>Quick Draw</v>
      </c>
      <c r="C79" s="1415"/>
      <c r="D79" s="1415"/>
      <c r="E79" s="1415"/>
      <c r="F79" s="1415"/>
      <c r="G79" s="1415"/>
      <c r="H79" s="1415"/>
      <c r="I79" s="1415"/>
      <c r="J79" s="1415" t="str">
        <f>IF(Feats!I19="","",Feats!M19)</f>
        <v>Class feat</v>
      </c>
      <c r="K79" s="1415"/>
      <c r="L79" s="1415"/>
      <c r="M79" s="1415"/>
      <c r="N79" s="1416">
        <f>IF(Feats!I19="","",Feats!L19)</f>
        <v>2</v>
      </c>
      <c r="O79" s="1413"/>
      <c r="P79" s="1414" t="str">
        <f>IF(Feats!I43="","",Feats!I43)</f>
        <v/>
      </c>
      <c r="Q79" s="1415"/>
      <c r="R79" s="1415"/>
      <c r="S79" s="1415"/>
      <c r="T79" s="1415"/>
      <c r="U79" s="1415"/>
      <c r="V79" s="1415"/>
      <c r="W79" s="1415"/>
      <c r="X79" s="1415" t="str">
        <f>IF(Feats!I43="","",Feats!M43)</f>
        <v/>
      </c>
      <c r="Y79" s="1415"/>
      <c r="Z79" s="1415"/>
      <c r="AA79" s="1415"/>
      <c r="AB79" s="1416" t="str">
        <f>IF(Feats!I43="","",Feats!L43)</f>
        <v/>
      </c>
      <c r="AC79" s="637"/>
    </row>
    <row r="80" spans="1:29" ht="19.5" hidden="1" customHeight="1" outlineLevel="1" x14ac:dyDescent="0.25">
      <c r="A80" s="656"/>
      <c r="B80" s="1414" t="str">
        <f>IF(Feats!I20="","",Feats!I20)</f>
        <v/>
      </c>
      <c r="C80" s="1415"/>
      <c r="D80" s="1415"/>
      <c r="E80" s="1415"/>
      <c r="F80" s="1415"/>
      <c r="G80" s="1415"/>
      <c r="H80" s="1415"/>
      <c r="I80" s="1415"/>
      <c r="J80" s="1415" t="str">
        <f>IF(Feats!I20="","",Feats!M20)</f>
        <v/>
      </c>
      <c r="K80" s="1415"/>
      <c r="L80" s="1415"/>
      <c r="M80" s="1415"/>
      <c r="N80" s="1416" t="str">
        <f>IF(Feats!I20="","",Feats!L20)</f>
        <v/>
      </c>
      <c r="O80" s="1413"/>
      <c r="P80" s="1414" t="str">
        <f>IF(Feats!I44="","",Feats!I44)</f>
        <v/>
      </c>
      <c r="Q80" s="1415"/>
      <c r="R80" s="1415"/>
      <c r="S80" s="1415"/>
      <c r="T80" s="1415"/>
      <c r="U80" s="1415"/>
      <c r="V80" s="1415"/>
      <c r="W80" s="1415"/>
      <c r="X80" s="1415" t="str">
        <f>IF(Feats!I44="","",Feats!M44)</f>
        <v/>
      </c>
      <c r="Y80" s="1415"/>
      <c r="Z80" s="1415"/>
      <c r="AA80" s="1415"/>
      <c r="AB80" s="1416" t="str">
        <f>IF(Feats!I44="","",Feats!L44)</f>
        <v/>
      </c>
      <c r="AC80" s="637"/>
    </row>
    <row r="81" spans="1:29" ht="19.5" customHeight="1" collapsed="1" x14ac:dyDescent="0.25">
      <c r="A81" s="656"/>
      <c r="B81" s="1414" t="str">
        <f>IF(Feats!I21="","",Feats!I21)</f>
        <v>Expert in Deception</v>
      </c>
      <c r="C81" s="1415"/>
      <c r="D81" s="1415"/>
      <c r="E81" s="1415"/>
      <c r="F81" s="1415"/>
      <c r="G81" s="1415"/>
      <c r="H81" s="1415"/>
      <c r="I81" s="1415"/>
      <c r="J81" s="1415" t="str">
        <f>IF(Feats!I21="","",Feats!M21)</f>
        <v>Skill increase (Rogue)</v>
      </c>
      <c r="K81" s="1415"/>
      <c r="L81" s="1415"/>
      <c r="M81" s="1415"/>
      <c r="N81" s="1416">
        <f>IF(Feats!I21="","",Feats!L21)</f>
        <v>2</v>
      </c>
      <c r="O81" s="1413"/>
      <c r="P81" s="1414" t="str">
        <f>IF(Feats!I45="","",Feats!I45)</f>
        <v/>
      </c>
      <c r="Q81" s="1415"/>
      <c r="R81" s="1415"/>
      <c r="S81" s="1415"/>
      <c r="T81" s="1415"/>
      <c r="U81" s="1415"/>
      <c r="V81" s="1415"/>
      <c r="W81" s="1415"/>
      <c r="X81" s="1415" t="str">
        <f>IF(Feats!I45="","",Feats!M45)</f>
        <v/>
      </c>
      <c r="Y81" s="1415"/>
      <c r="Z81" s="1415"/>
      <c r="AA81" s="1415"/>
      <c r="AB81" s="1416" t="str">
        <f>IF(Feats!I45="","",Feats!L45)</f>
        <v/>
      </c>
      <c r="AC81" s="637"/>
    </row>
    <row r="82" spans="1:29" ht="19.5" customHeight="1" x14ac:dyDescent="0.25">
      <c r="A82" s="656"/>
      <c r="B82" s="1414" t="str">
        <f>IF(Feats!I22="","",Feats!I22)</f>
        <v>Deny Advantage</v>
      </c>
      <c r="C82" s="1415"/>
      <c r="D82" s="1415"/>
      <c r="E82" s="1415"/>
      <c r="F82" s="1415"/>
      <c r="G82" s="1415"/>
      <c r="H82" s="1415"/>
      <c r="I82" s="1415"/>
      <c r="J82" s="1415" t="str">
        <f>IF(Feats!I22="","",Feats!M22)</f>
        <v>Class ability</v>
      </c>
      <c r="K82" s="1415"/>
      <c r="L82" s="1415"/>
      <c r="M82" s="1415"/>
      <c r="N82" s="1416">
        <f>IF(Feats!I22="","",Feats!L22)</f>
        <v>3</v>
      </c>
      <c r="O82" s="1413"/>
      <c r="P82" s="1414" t="str">
        <f>IF(Feats!I46="","",Feats!I46)</f>
        <v/>
      </c>
      <c r="Q82" s="1415"/>
      <c r="R82" s="1415"/>
      <c r="S82" s="1415"/>
      <c r="T82" s="1415"/>
      <c r="U82" s="1415"/>
      <c r="V82" s="1415"/>
      <c r="W82" s="1415"/>
      <c r="X82" s="1415" t="str">
        <f>IF(Feats!I46="","",Feats!M46)</f>
        <v/>
      </c>
      <c r="Y82" s="1415"/>
      <c r="Z82" s="1415"/>
      <c r="AA82" s="1415"/>
      <c r="AB82" s="1416" t="str">
        <f>IF(Feats!I46="","",Feats!L46)</f>
        <v/>
      </c>
      <c r="AC82" s="637"/>
    </row>
    <row r="83" spans="1:29" ht="19.5" hidden="1" customHeight="1" outlineLevel="1" x14ac:dyDescent="0.25">
      <c r="A83" s="656"/>
      <c r="B83" s="1414" t="str">
        <f>IF(Feats!I23="","",Feats!I23)</f>
        <v/>
      </c>
      <c r="C83" s="1415"/>
      <c r="D83" s="1415"/>
      <c r="E83" s="1415"/>
      <c r="F83" s="1415"/>
      <c r="G83" s="1415"/>
      <c r="H83" s="1415"/>
      <c r="I83" s="1415"/>
      <c r="J83" s="1415" t="str">
        <f>IF(Feats!I23="","",Feats!M23)</f>
        <v/>
      </c>
      <c r="K83" s="1415"/>
      <c r="L83" s="1415"/>
      <c r="M83" s="1415"/>
      <c r="N83" s="1416" t="str">
        <f>IF(Feats!I23="","",Feats!L23)</f>
        <v/>
      </c>
      <c r="O83" s="1413"/>
      <c r="P83" s="1414" t="str">
        <f>IF(Feats!I47="","",Feats!I47)</f>
        <v/>
      </c>
      <c r="Q83" s="1415"/>
      <c r="R83" s="1415"/>
      <c r="S83" s="1415"/>
      <c r="T83" s="1415"/>
      <c r="U83" s="1415"/>
      <c r="V83" s="1415"/>
      <c r="W83" s="1415"/>
      <c r="X83" s="1415" t="str">
        <f>IF(Feats!I47="","",Feats!M47)</f>
        <v/>
      </c>
      <c r="Y83" s="1415"/>
      <c r="Z83" s="1415"/>
      <c r="AA83" s="1415"/>
      <c r="AB83" s="1416" t="str">
        <f>IF(Feats!I47="","",Feats!L47)</f>
        <v/>
      </c>
      <c r="AC83" s="637"/>
    </row>
    <row r="84" spans="1:29" ht="19.5" hidden="1" customHeight="1" outlineLevel="1" x14ac:dyDescent="0.25">
      <c r="A84" s="656"/>
      <c r="B84" s="1414" t="str">
        <f>IF(Feats!I24="","",Feats!I24)</f>
        <v/>
      </c>
      <c r="C84" s="1415"/>
      <c r="D84" s="1415"/>
      <c r="E84" s="1415"/>
      <c r="F84" s="1415"/>
      <c r="G84" s="1415"/>
      <c r="H84" s="1415"/>
      <c r="I84" s="1415"/>
      <c r="J84" s="1415" t="str">
        <f>IF(Feats!I24="","",Feats!M24)</f>
        <v/>
      </c>
      <c r="K84" s="1415"/>
      <c r="L84" s="1415"/>
      <c r="M84" s="1415"/>
      <c r="N84" s="1416" t="str">
        <f>IF(Feats!I24="","",Feats!L24)</f>
        <v/>
      </c>
      <c r="O84" s="1413"/>
      <c r="P84" s="1414" t="str">
        <f>IF(Feats!I48="","",Feats!I48)</f>
        <v/>
      </c>
      <c r="Q84" s="1415"/>
      <c r="R84" s="1415"/>
      <c r="S84" s="1415"/>
      <c r="T84" s="1415"/>
      <c r="U84" s="1415"/>
      <c r="V84" s="1415"/>
      <c r="W84" s="1415"/>
      <c r="X84" s="1415" t="str">
        <f>IF(Feats!I48="","",Feats!M48)</f>
        <v/>
      </c>
      <c r="Y84" s="1415"/>
      <c r="Z84" s="1415"/>
      <c r="AA84" s="1415"/>
      <c r="AB84" s="1416" t="str">
        <f>IF(Feats!I48="","",Feats!L48)</f>
        <v/>
      </c>
      <c r="AC84" s="637"/>
    </row>
    <row r="85" spans="1:29" ht="19.5" customHeight="1" collapsed="1" x14ac:dyDescent="0.25">
      <c r="A85" s="656"/>
      <c r="B85" s="1414" t="str">
        <f>IF(Feats!I25="","",Feats!I25)</f>
        <v>Feather Step</v>
      </c>
      <c r="C85" s="1415"/>
      <c r="D85" s="1415"/>
      <c r="E85" s="1415"/>
      <c r="F85" s="1415"/>
      <c r="G85" s="1415"/>
      <c r="H85" s="1415"/>
      <c r="I85" s="1415"/>
      <c r="J85" s="1415" t="str">
        <f>IF(Feats!I25="","",Feats!M25)</f>
        <v>General feat</v>
      </c>
      <c r="K85" s="1415"/>
      <c r="L85" s="1415"/>
      <c r="M85" s="1415"/>
      <c r="N85" s="1416">
        <f>IF(Feats!I25="","",Feats!L25)</f>
        <v>3</v>
      </c>
      <c r="O85" s="1413"/>
      <c r="P85" s="1414" t="str">
        <f>IF(Feats!I49="","",Feats!I49)</f>
        <v/>
      </c>
      <c r="Q85" s="1415"/>
      <c r="R85" s="1415"/>
      <c r="S85" s="1415"/>
      <c r="T85" s="1415"/>
      <c r="U85" s="1415"/>
      <c r="V85" s="1415"/>
      <c r="W85" s="1415"/>
      <c r="X85" s="1415" t="str">
        <f>IF(Feats!I49="","",Feats!M49)</f>
        <v/>
      </c>
      <c r="Y85" s="1415"/>
      <c r="Z85" s="1415"/>
      <c r="AA85" s="1415"/>
      <c r="AB85" s="1416" t="str">
        <f>IF(Feats!I49="","",Feats!L49)</f>
        <v/>
      </c>
      <c r="AC85" s="637"/>
    </row>
    <row r="86" spans="1:29" ht="19.5" customHeight="1" x14ac:dyDescent="0.25">
      <c r="A86" s="656"/>
      <c r="B86" s="1414" t="str">
        <f>IF(Feats!I26="","",Feats!I26)</f>
        <v>Expert in Acrobatics</v>
      </c>
      <c r="C86" s="1415"/>
      <c r="D86" s="1415"/>
      <c r="E86" s="1415"/>
      <c r="F86" s="1415"/>
      <c r="G86" s="1415"/>
      <c r="H86" s="1415"/>
      <c r="I86" s="1415"/>
      <c r="J86" s="1415" t="str">
        <f>IF(Feats!I26="","",Feats!M26)</f>
        <v>Skill increase</v>
      </c>
      <c r="K86" s="1415"/>
      <c r="L86" s="1415"/>
      <c r="M86" s="1415"/>
      <c r="N86" s="1416">
        <f>IF(Feats!I26="","",Feats!L26)</f>
        <v>3</v>
      </c>
      <c r="O86" s="1413"/>
      <c r="P86" s="1414" t="str">
        <f>IF(Feats!I50="","",Feats!I50)</f>
        <v/>
      </c>
      <c r="Q86" s="1415"/>
      <c r="R86" s="1415"/>
      <c r="S86" s="1415"/>
      <c r="T86" s="1415"/>
      <c r="U86" s="1415"/>
      <c r="V86" s="1415"/>
      <c r="W86" s="1415"/>
      <c r="X86" s="1415" t="str">
        <f>IF(Feats!I50="","",Feats!M50)</f>
        <v/>
      </c>
      <c r="Y86" s="1415"/>
      <c r="Z86" s="1415"/>
      <c r="AA86" s="1415"/>
      <c r="AB86" s="1416" t="str">
        <f>IF(Feats!I50="","",Feats!L50)</f>
        <v/>
      </c>
      <c r="AC86" s="637"/>
    </row>
    <row r="87" spans="1:29" ht="19.5" customHeight="1" x14ac:dyDescent="0.25">
      <c r="A87" s="656"/>
      <c r="B87" s="1414" t="str">
        <f>IF(Feats!I27="","",Feats!I27)</f>
        <v>Assurance (T Acrobatics)</v>
      </c>
      <c r="C87" s="1415"/>
      <c r="D87" s="1415"/>
      <c r="E87" s="1415"/>
      <c r="F87" s="1415"/>
      <c r="G87" s="1415"/>
      <c r="H87" s="1415"/>
      <c r="I87" s="1415"/>
      <c r="J87" s="1415" t="str">
        <f>IF(Feats!I27="","",Feats!M27)</f>
        <v>Skill feat (Rogue)</v>
      </c>
      <c r="K87" s="1415"/>
      <c r="L87" s="1415"/>
      <c r="M87" s="1415"/>
      <c r="N87" s="1416">
        <f>IF(Feats!I27="","",Feats!L27)</f>
        <v>3</v>
      </c>
      <c r="O87" s="1413"/>
      <c r="P87" s="1414"/>
      <c r="Q87" s="1415"/>
      <c r="R87" s="1415"/>
      <c r="S87" s="1415"/>
      <c r="T87" s="1415"/>
      <c r="U87" s="1415"/>
      <c r="V87" s="1415"/>
      <c r="W87" s="1415"/>
      <c r="X87" s="1415"/>
      <c r="Y87" s="1415"/>
      <c r="Z87" s="1415"/>
      <c r="AA87" s="1415"/>
      <c r="AB87" s="1417"/>
      <c r="AC87" s="637"/>
    </row>
    <row r="88" spans="1:29" ht="19.5" customHeight="1" x14ac:dyDescent="0.25">
      <c r="A88" s="656"/>
      <c r="B88" s="1418" t="str">
        <f>IF(Feats!I28="","",Feats!I28)</f>
        <v>Quiet Allies</v>
      </c>
      <c r="C88" s="1419"/>
      <c r="D88" s="1419"/>
      <c r="E88" s="1419"/>
      <c r="F88" s="1419"/>
      <c r="G88" s="1419"/>
      <c r="H88" s="1419"/>
      <c r="I88" s="1420"/>
      <c r="J88" s="1419" t="str">
        <f>IF(Feats!I28="","",Feats!M28)</f>
        <v>Skill feat</v>
      </c>
      <c r="K88" s="1420"/>
      <c r="L88" s="1419"/>
      <c r="M88" s="1419"/>
      <c r="N88" s="1421">
        <f>IF(Feats!I28="","",Feats!L28)</f>
        <v>4</v>
      </c>
      <c r="O88" s="1413"/>
      <c r="P88" s="1418"/>
      <c r="Q88" s="1419"/>
      <c r="R88" s="1419"/>
      <c r="S88" s="1419"/>
      <c r="T88" s="1419"/>
      <c r="U88" s="1419"/>
      <c r="V88" s="1419"/>
      <c r="W88" s="1419"/>
      <c r="X88" s="1419"/>
      <c r="Y88" s="1419"/>
      <c r="Z88" s="1419"/>
      <c r="AA88" s="1419"/>
      <c r="AB88" s="1422"/>
      <c r="AC88" s="637"/>
    </row>
    <row r="89" spans="1:29" ht="19.5" customHeight="1" thickBot="1" x14ac:dyDescent="0.3">
      <c r="A89" s="66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52"/>
    </row>
    <row r="90" spans="1:29" ht="19.5" hidden="1" customHeight="1" outlineLevel="1" x14ac:dyDescent="0.25">
      <c r="A90" s="667"/>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35"/>
    </row>
    <row r="91" spans="1:29" s="450" customFormat="1" ht="19.5" hidden="1" customHeight="1" outlineLevel="1" x14ac:dyDescent="0.3">
      <c r="A91" s="648"/>
      <c r="B91" s="1022" t="s">
        <v>551</v>
      </c>
      <c r="C91" s="641"/>
      <c r="D91" s="641"/>
      <c r="E91" s="641"/>
      <c r="F91" s="641"/>
      <c r="G91" s="641"/>
      <c r="H91" s="641"/>
      <c r="I91" s="641"/>
      <c r="J91" s="641"/>
      <c r="K91" s="1022" t="s">
        <v>165</v>
      </c>
      <c r="L91" s="641"/>
      <c r="M91" s="1022" t="s">
        <v>553</v>
      </c>
      <c r="N91" s="641"/>
      <c r="O91" s="641"/>
      <c r="P91" s="641"/>
      <c r="Q91" s="641"/>
      <c r="R91" s="641"/>
      <c r="S91" s="641"/>
      <c r="T91" s="641"/>
      <c r="U91" s="641"/>
      <c r="V91" s="641"/>
      <c r="W91" s="641"/>
      <c r="X91" s="641"/>
      <c r="Y91" s="1265" t="s">
        <v>165</v>
      </c>
      <c r="Z91" s="641"/>
      <c r="AA91" s="641"/>
      <c r="AB91" s="641"/>
      <c r="AC91" s="642"/>
    </row>
    <row r="92" spans="1:29" ht="19.5" hidden="1" customHeight="1" outlineLevel="1" x14ac:dyDescent="0.3">
      <c r="A92" s="643"/>
      <c r="B92" s="1021"/>
      <c r="C92" s="1021"/>
      <c r="D92" s="489" t="s">
        <v>324</v>
      </c>
      <c r="E92" s="1021"/>
      <c r="F92" s="1021"/>
      <c r="G92" s="1021"/>
      <c r="H92" s="1021"/>
      <c r="I92" s="489" t="s">
        <v>79</v>
      </c>
      <c r="J92" s="1021"/>
      <c r="K92" s="1022" t="s">
        <v>490</v>
      </c>
      <c r="L92" s="1021"/>
      <c r="M92" s="669" t="s">
        <v>554</v>
      </c>
      <c r="N92" s="701" t="str">
        <f>IF(Spells!I17="","",Spells!I17)</f>
        <v/>
      </c>
      <c r="O92" s="702" t="str">
        <f>IF(Spells!I18="","",Spells!I18)</f>
        <v/>
      </c>
      <c r="P92" s="702" t="str">
        <f>IF(Spells!I19="","",Spells!I19)</f>
        <v/>
      </c>
      <c r="Q92" s="702" t="str">
        <f>IF(Spells!I20="","",Spells!I20)</f>
        <v/>
      </c>
      <c r="R92" s="702"/>
      <c r="S92" s="703"/>
      <c r="T92" s="703" t="str">
        <f>IF(Spells!I23="","",Spells!I23)</f>
        <v/>
      </c>
      <c r="U92" s="703" t="str">
        <f>IF(Spells!I24="","",Spells!I24)</f>
        <v/>
      </c>
      <c r="V92" s="703" t="str">
        <f>IF(Spells!I25="","",Spells!I25)</f>
        <v/>
      </c>
      <c r="W92" s="1226" t="str">
        <f>IF(Spells!I26="","",Spells!I26)</f>
        <v/>
      </c>
      <c r="X92" s="1021"/>
      <c r="Y92" s="1265" t="s">
        <v>983</v>
      </c>
      <c r="Z92" s="1021"/>
      <c r="AA92" s="1021"/>
      <c r="AB92" s="1021"/>
      <c r="AC92" s="637"/>
    </row>
    <row r="93" spans="1:29" ht="19.5" hidden="1" customHeight="1" outlineLevel="1" x14ac:dyDescent="0.25">
      <c r="A93" s="643"/>
      <c r="B93" s="768">
        <f>Skills!I38</f>
        <v>0</v>
      </c>
      <c r="C93" s="704" t="s">
        <v>502</v>
      </c>
      <c r="D93" s="705">
        <f>Skills!I207</f>
        <v>0</v>
      </c>
      <c r="E93" s="706">
        <f>Skills!I165</f>
        <v>0</v>
      </c>
      <c r="F93" s="1466"/>
      <c r="G93" s="707" t="s">
        <v>499</v>
      </c>
      <c r="H93" s="705">
        <f>Skills!I70</f>
        <v>4</v>
      </c>
      <c r="I93" s="708" t="str">
        <f>Skills!I71</f>
        <v>DEX</v>
      </c>
      <c r="J93" s="1021"/>
      <c r="K93" s="771">
        <f>Spells!I4</f>
        <v>0</v>
      </c>
      <c r="L93" s="1021"/>
      <c r="M93" s="669" t="s">
        <v>490</v>
      </c>
      <c r="N93" s="492">
        <v>1</v>
      </c>
      <c r="O93" s="457">
        <v>2</v>
      </c>
      <c r="P93" s="457">
        <v>3</v>
      </c>
      <c r="Q93" s="457">
        <v>4</v>
      </c>
      <c r="R93" s="457">
        <v>5</v>
      </c>
      <c r="S93" s="457">
        <v>6</v>
      </c>
      <c r="T93" s="457">
        <v>7</v>
      </c>
      <c r="U93" s="457">
        <v>8</v>
      </c>
      <c r="V93" s="448">
        <v>9</v>
      </c>
      <c r="W93" s="1224">
        <v>10</v>
      </c>
      <c r="X93" s="1021"/>
      <c r="Y93" s="771">
        <f>Spells!I16</f>
        <v>0</v>
      </c>
      <c r="Z93" s="1021"/>
      <c r="AA93" s="1021"/>
      <c r="AB93" s="1021"/>
      <c r="AC93" s="637"/>
    </row>
    <row r="94" spans="1:29" ht="19.5" hidden="1" customHeight="1" outlineLevel="1" x14ac:dyDescent="0.3">
      <c r="A94" s="596"/>
      <c r="B94" s="769">
        <f>Skills!I39</f>
        <v>0</v>
      </c>
      <c r="C94" s="709" t="s">
        <v>552</v>
      </c>
      <c r="D94" s="710">
        <f>Skills!I208</f>
        <v>0</v>
      </c>
      <c r="E94" s="711">
        <f>Skills!I167</f>
        <v>0</v>
      </c>
      <c r="F94" s="1420"/>
      <c r="G94" s="712" t="s">
        <v>499</v>
      </c>
      <c r="H94" s="710">
        <f>Skills!I70</f>
        <v>4</v>
      </c>
      <c r="I94" s="713" t="str">
        <f>Skills!I71</f>
        <v>DEX</v>
      </c>
      <c r="J94" s="1021"/>
      <c r="K94" s="130"/>
      <c r="L94" s="493"/>
      <c r="M94" s="670" t="s">
        <v>459</v>
      </c>
      <c r="N94" s="698" t="str">
        <f>IF(Spells!I6="","",Spells!I6)</f>
        <v/>
      </c>
      <c r="O94" s="699" t="str">
        <f>IF(Spells!I7="","",Spells!I7)</f>
        <v/>
      </c>
      <c r="P94" s="699" t="str">
        <f>IF(Spells!I8="","",Spells!I8)</f>
        <v/>
      </c>
      <c r="Q94" s="699" t="str">
        <f>IF(Spells!I9="","",Spells!I9)</f>
        <v/>
      </c>
      <c r="R94" s="699"/>
      <c r="S94" s="699"/>
      <c r="T94" s="699"/>
      <c r="U94" s="699"/>
      <c r="V94" s="700"/>
      <c r="W94" s="1225"/>
      <c r="X94" s="671"/>
      <c r="Y94" s="130"/>
      <c r="Z94" s="1021"/>
      <c r="AA94" s="1021"/>
      <c r="AB94" s="1021"/>
      <c r="AC94" s="637"/>
    </row>
    <row r="95" spans="1:29" s="450" customFormat="1" ht="19.5" hidden="1" customHeight="1" outlineLevel="1" x14ac:dyDescent="0.3">
      <c r="A95" s="672"/>
      <c r="B95" s="673" t="s">
        <v>555</v>
      </c>
      <c r="C95" s="674"/>
      <c r="D95" s="674"/>
      <c r="E95" s="674"/>
      <c r="F95" s="674"/>
      <c r="G95" s="674"/>
      <c r="H95" s="674"/>
      <c r="I95" s="674"/>
      <c r="J95" s="674"/>
      <c r="M95" s="670" t="s">
        <v>936</v>
      </c>
      <c r="N95" s="1218" t="str">
        <f>IF(Spells!I27="","",Spells!I27)</f>
        <v/>
      </c>
      <c r="O95" s="1219" t="str">
        <f>IF(Spells!I28="","",Spells!I28)</f>
        <v/>
      </c>
      <c r="P95" s="1219" t="str">
        <f>IF(Spells!I29="","",Spells!I29)</f>
        <v/>
      </c>
      <c r="Q95" s="1219" t="str">
        <f>IF(Spells!I30="","",Spells!I30)</f>
        <v/>
      </c>
      <c r="R95" s="1219" t="str">
        <f>IF(Spells!I31="","",Spells!I31)</f>
        <v/>
      </c>
      <c r="S95" s="1220" t="str">
        <f>IF(Spells!I32="","",Spells!I32)</f>
        <v/>
      </c>
      <c r="T95" s="1220" t="str">
        <f>IF(Spells!I33="","",Spells!I33)</f>
        <v/>
      </c>
      <c r="U95" s="1220" t="str">
        <f>IF(Spells!I34="","",Spells!I34)</f>
        <v/>
      </c>
      <c r="V95" s="1220" t="str">
        <f>IF(Spells!I35="","",Spells!I35)</f>
        <v/>
      </c>
      <c r="W95" s="1222" t="str">
        <f>IF(Spells!I36="","",Spells!I36)</f>
        <v/>
      </c>
      <c r="AB95" s="641"/>
      <c r="AC95" s="642"/>
    </row>
    <row r="96" spans="1:29" ht="19.5" hidden="1" customHeight="1" outlineLevel="1" x14ac:dyDescent="0.3">
      <c r="A96" s="596"/>
      <c r="B96" s="1021" t="str">
        <f>IF(Feats!I14="","",Feats!I14)</f>
        <v/>
      </c>
      <c r="C96" s="130"/>
      <c r="D96" s="130"/>
      <c r="E96" s="1021"/>
      <c r="F96" s="674"/>
      <c r="G96" s="1021"/>
      <c r="H96" s="1021"/>
      <c r="I96" s="674"/>
      <c r="J96" s="130"/>
      <c r="K96" s="1022" t="s">
        <v>166</v>
      </c>
      <c r="L96" s="674"/>
      <c r="M96" s="674"/>
      <c r="N96" s="675"/>
      <c r="O96" s="675"/>
      <c r="P96" s="675"/>
      <c r="Q96" s="675"/>
      <c r="R96" s="675"/>
      <c r="S96" s="675"/>
      <c r="T96" s="675"/>
      <c r="U96" s="675"/>
      <c r="V96" s="675"/>
      <c r="W96" s="675"/>
      <c r="X96" s="674"/>
      <c r="Y96" s="674"/>
      <c r="Z96" s="641"/>
      <c r="AA96" s="641"/>
      <c r="AB96" s="1021"/>
      <c r="AC96" s="637"/>
    </row>
    <row r="97" spans="1:29" ht="19.5" hidden="1" customHeight="1" outlineLevel="1" x14ac:dyDescent="0.3">
      <c r="A97" s="596"/>
      <c r="B97" s="676" t="s">
        <v>557</v>
      </c>
      <c r="C97" s="130"/>
      <c r="D97" s="130"/>
      <c r="E97" s="674"/>
      <c r="F97" s="491" t="str">
        <f>IF(Spells!I5="","",Spells!I5)</f>
        <v/>
      </c>
      <c r="G97" s="130"/>
      <c r="H97" s="674"/>
      <c r="I97" s="674"/>
      <c r="J97" s="130"/>
      <c r="K97" s="1423" t="str">
        <f>IF(Spells!I98="","","["&amp;Spells!I98&amp;"] "&amp;Spells!I99&amp;" ["&amp;Spells!I101&amp;"]")</f>
        <v/>
      </c>
      <c r="L97" s="1424"/>
      <c r="M97" s="1425"/>
      <c r="N97" s="1425"/>
      <c r="O97" s="1425"/>
      <c r="P97" s="1425"/>
      <c r="Q97" s="1425"/>
      <c r="R97" s="1426"/>
      <c r="S97" s="1404"/>
      <c r="T97" s="1427"/>
      <c r="U97" s="1424"/>
      <c r="V97" s="747"/>
      <c r="W97" s="747"/>
      <c r="X97" s="747"/>
      <c r="Y97" s="747"/>
      <c r="Z97" s="747"/>
      <c r="AA97" s="1350"/>
      <c r="AB97" s="1021"/>
      <c r="AC97" s="637"/>
    </row>
    <row r="98" spans="1:29" ht="19.5" hidden="1" customHeight="1" outlineLevel="1" x14ac:dyDescent="0.25">
      <c r="A98" s="596"/>
      <c r="B98" s="676" t="s">
        <v>165</v>
      </c>
      <c r="C98" s="130"/>
      <c r="D98" s="130"/>
      <c r="E98" s="130"/>
      <c r="F98" s="130"/>
      <c r="G98" s="130"/>
      <c r="H98" s="130"/>
      <c r="I98" s="130"/>
      <c r="J98" s="130"/>
      <c r="K98" s="1428" t="str">
        <f>IF(Spells!I100="","",Spells!I100)</f>
        <v/>
      </c>
      <c r="L98" s="749"/>
      <c r="M98" s="1429"/>
      <c r="N98" s="1429"/>
      <c r="O98" s="1429"/>
      <c r="P98" s="1429"/>
      <c r="Q98" s="1430"/>
      <c r="R98" s="1431"/>
      <c r="S98" s="1432"/>
      <c r="T98" s="1433"/>
      <c r="U98" s="749"/>
      <c r="V98" s="1434"/>
      <c r="W98" s="1434"/>
      <c r="X98" s="1434"/>
      <c r="Y98" s="1434"/>
      <c r="Z98" s="1434"/>
      <c r="AA98" s="1435"/>
      <c r="AB98" s="1021"/>
      <c r="AC98" s="637"/>
    </row>
    <row r="99" spans="1:29" ht="19.5" hidden="1" customHeight="1" outlineLevel="1" x14ac:dyDescent="0.25">
      <c r="A99" s="596"/>
      <c r="B99" s="1449" t="str">
        <f>IF(Spells!I54="","","["&amp;Spells!I54&amp;"] "&amp;Spells!I55&amp;" ["&amp;Spells!I57&amp;"]")</f>
        <v/>
      </c>
      <c r="C99" s="1330"/>
      <c r="D99" s="1330"/>
      <c r="E99" s="1450"/>
      <c r="F99" s="1450"/>
      <c r="G99" s="1451"/>
      <c r="H99" s="1452"/>
      <c r="I99" s="1453"/>
      <c r="J99" s="130"/>
      <c r="K99" s="1436" t="str">
        <f>IF(Spells!I102="","","["&amp;Spells!I102&amp;"] "&amp;Spells!I103&amp;" ["&amp;Spells!I105&amp;"]")</f>
        <v/>
      </c>
      <c r="L99" s="749"/>
      <c r="M99" s="1429"/>
      <c r="N99" s="1429"/>
      <c r="O99" s="1429"/>
      <c r="P99" s="1429"/>
      <c r="Q99" s="1430"/>
      <c r="R99" s="1431"/>
      <c r="S99" s="1432"/>
      <c r="T99" s="1433"/>
      <c r="U99" s="749"/>
      <c r="V99" s="1434"/>
      <c r="W99" s="1434"/>
      <c r="X99" s="1434"/>
      <c r="Y99" s="1434"/>
      <c r="Z99" s="1434"/>
      <c r="AA99" s="1435"/>
      <c r="AB99" s="1021"/>
      <c r="AC99" s="637"/>
    </row>
    <row r="100" spans="1:29" ht="19.5" hidden="1" customHeight="1" outlineLevel="1" x14ac:dyDescent="0.25">
      <c r="A100" s="596"/>
      <c r="B100" s="1454" t="str">
        <f>IF(Spells!I56="","",Spells!I56)</f>
        <v/>
      </c>
      <c r="C100" s="1334"/>
      <c r="D100" s="1334"/>
      <c r="E100" s="1455"/>
      <c r="F100" s="1455"/>
      <c r="G100" s="1455"/>
      <c r="H100" s="1456"/>
      <c r="I100" s="1457"/>
      <c r="J100" s="130"/>
      <c r="K100" s="1428" t="str">
        <f>IF(Spells!I104="","",Spells!I104)</f>
        <v/>
      </c>
      <c r="L100" s="749"/>
      <c r="M100" s="1429"/>
      <c r="N100" s="1429"/>
      <c r="O100" s="1429"/>
      <c r="P100" s="1429"/>
      <c r="Q100" s="1430"/>
      <c r="R100" s="1431"/>
      <c r="S100" s="1432"/>
      <c r="T100" s="1433"/>
      <c r="U100" s="749"/>
      <c r="V100" s="1434"/>
      <c r="W100" s="1434"/>
      <c r="X100" s="1434"/>
      <c r="Y100" s="1434"/>
      <c r="Z100" s="1434"/>
      <c r="AA100" s="1435"/>
      <c r="AB100" s="1021"/>
      <c r="AC100" s="637"/>
    </row>
    <row r="101" spans="1:29" ht="19.5" hidden="1" customHeight="1" outlineLevel="1" x14ac:dyDescent="0.25">
      <c r="A101" s="596"/>
      <c r="B101" s="1458" t="str">
        <f>IF(Spells!I58="","","["&amp;Spells!I58&amp;"] "&amp;Spells!I59&amp;" ["&amp;Spells!I61&amp;"]")</f>
        <v/>
      </c>
      <c r="C101" s="1335"/>
      <c r="D101" s="1334"/>
      <c r="E101" s="1455"/>
      <c r="F101" s="1456"/>
      <c r="G101" s="1455"/>
      <c r="H101" s="1459"/>
      <c r="I101" s="1457"/>
      <c r="J101" s="130"/>
      <c r="K101" s="1436" t="str">
        <f>IF(Spells!I106="","","["&amp;Spells!I106&amp;"] "&amp;Spells!I107&amp;" ["&amp;Spells!I109&amp;"]")</f>
        <v/>
      </c>
      <c r="L101" s="749"/>
      <c r="M101" s="1429"/>
      <c r="N101" s="1429"/>
      <c r="O101" s="1429"/>
      <c r="P101" s="1429"/>
      <c r="Q101" s="1430"/>
      <c r="R101" s="1431"/>
      <c r="S101" s="1432"/>
      <c r="T101" s="1433"/>
      <c r="U101" s="749"/>
      <c r="V101" s="1434"/>
      <c r="W101" s="1434"/>
      <c r="X101" s="1434"/>
      <c r="Y101" s="1434"/>
      <c r="Z101" s="1434"/>
      <c r="AA101" s="1435"/>
      <c r="AB101" s="1021"/>
      <c r="AC101" s="637"/>
    </row>
    <row r="102" spans="1:29" ht="19.5" hidden="1" customHeight="1" outlineLevel="1" x14ac:dyDescent="0.25">
      <c r="A102" s="596"/>
      <c r="B102" s="1454" t="str">
        <f>IF(Spells!I60="","",Spells!I60)</f>
        <v/>
      </c>
      <c r="C102" s="1460"/>
      <c r="D102" s="1334"/>
      <c r="E102" s="1455"/>
      <c r="F102" s="1456"/>
      <c r="G102" s="1455"/>
      <c r="H102" s="1456"/>
      <c r="I102" s="1457"/>
      <c r="J102" s="130"/>
      <c r="K102" s="1428" t="str">
        <f>IF(Spells!I108="","",Spells!I108)</f>
        <v/>
      </c>
      <c r="L102" s="749"/>
      <c r="M102" s="1429"/>
      <c r="N102" s="1429"/>
      <c r="O102" s="1429"/>
      <c r="P102" s="1429"/>
      <c r="Q102" s="1430"/>
      <c r="R102" s="1431"/>
      <c r="S102" s="1432"/>
      <c r="T102" s="1433"/>
      <c r="U102" s="749"/>
      <c r="V102" s="1434"/>
      <c r="W102" s="1434"/>
      <c r="X102" s="1434"/>
      <c r="Y102" s="1434"/>
      <c r="Z102" s="1434"/>
      <c r="AA102" s="1435"/>
      <c r="AB102" s="1021"/>
      <c r="AC102" s="637"/>
    </row>
    <row r="103" spans="1:29" ht="19.5" hidden="1" customHeight="1" outlineLevel="1" x14ac:dyDescent="0.25">
      <c r="A103" s="596"/>
      <c r="B103" s="1458" t="str">
        <f>IF(Spells!I62="","","["&amp;Spells!I62&amp;"] "&amp;Spells!I63&amp;" ["&amp;Spells!I65&amp;"]")</f>
        <v/>
      </c>
      <c r="C103" s="1335"/>
      <c r="D103" s="1334"/>
      <c r="E103" s="1455"/>
      <c r="F103" s="1456"/>
      <c r="G103" s="1455"/>
      <c r="H103" s="1459"/>
      <c r="I103" s="1457"/>
      <c r="J103" s="130"/>
      <c r="K103" s="1436" t="str">
        <f>IF(Spells!I110="","","["&amp;Spells!I110&amp;"] "&amp;Spells!I111&amp;" ["&amp;Spells!I113&amp;"]")</f>
        <v/>
      </c>
      <c r="L103" s="749"/>
      <c r="M103" s="1429"/>
      <c r="N103" s="1429"/>
      <c r="O103" s="1429"/>
      <c r="P103" s="1429"/>
      <c r="Q103" s="1430"/>
      <c r="R103" s="1431"/>
      <c r="S103" s="1432"/>
      <c r="T103" s="1433"/>
      <c r="U103" s="749"/>
      <c r="V103" s="1434"/>
      <c r="W103" s="1434"/>
      <c r="X103" s="1434"/>
      <c r="Y103" s="1434"/>
      <c r="Z103" s="1434"/>
      <c r="AA103" s="1435"/>
      <c r="AB103" s="1021"/>
      <c r="AC103" s="637"/>
    </row>
    <row r="104" spans="1:29" ht="19.5" hidden="1" customHeight="1" outlineLevel="1" x14ac:dyDescent="0.25">
      <c r="A104" s="596"/>
      <c r="B104" s="1454" t="str">
        <f>IF(Spells!I64="","",Spells!I64)</f>
        <v/>
      </c>
      <c r="C104" s="1460"/>
      <c r="D104" s="1334"/>
      <c r="E104" s="1455"/>
      <c r="F104" s="1456"/>
      <c r="G104" s="1455"/>
      <c r="H104" s="1456"/>
      <c r="I104" s="1457"/>
      <c r="J104" s="130"/>
      <c r="K104" s="1428" t="str">
        <f>IF(Spells!I112="","",Spells!I112)</f>
        <v/>
      </c>
      <c r="L104" s="749"/>
      <c r="M104" s="1429"/>
      <c r="N104" s="1429"/>
      <c r="O104" s="1429"/>
      <c r="P104" s="1430"/>
      <c r="Q104" s="1430"/>
      <c r="R104" s="1431"/>
      <c r="S104" s="1432"/>
      <c r="T104" s="1433"/>
      <c r="U104" s="749"/>
      <c r="V104" s="1434"/>
      <c r="W104" s="1434"/>
      <c r="X104" s="1434"/>
      <c r="Y104" s="1434"/>
      <c r="Z104" s="1434"/>
      <c r="AA104" s="1435"/>
      <c r="AB104" s="1021"/>
      <c r="AC104" s="637"/>
    </row>
    <row r="105" spans="1:29" ht="19.5" hidden="1" customHeight="1" outlineLevel="1" x14ac:dyDescent="0.25">
      <c r="A105" s="596"/>
      <c r="B105" s="1458" t="str">
        <f>IF(Spells!I66="","","["&amp;Spells!I66&amp;"] "&amp;Spells!I67&amp;" ["&amp;Spells!I69&amp;"]")</f>
        <v/>
      </c>
      <c r="C105" s="1335"/>
      <c r="D105" s="1334"/>
      <c r="E105" s="1455"/>
      <c r="F105" s="1456"/>
      <c r="G105" s="1455"/>
      <c r="H105" s="1459"/>
      <c r="I105" s="1457"/>
      <c r="J105" s="130"/>
      <c r="K105" s="1436" t="str">
        <f>IF(Spells!I114="","","["&amp;Spells!I114&amp;"] "&amp;Spells!I115&amp;" ["&amp;Spells!I117&amp;"]")</f>
        <v/>
      </c>
      <c r="L105" s="749"/>
      <c r="M105" s="1429"/>
      <c r="N105" s="1429"/>
      <c r="O105" s="1429"/>
      <c r="P105" s="1430"/>
      <c r="Q105" s="1430"/>
      <c r="R105" s="1431"/>
      <c r="S105" s="1432"/>
      <c r="T105" s="1433"/>
      <c r="U105" s="749"/>
      <c r="V105" s="1434"/>
      <c r="W105" s="1434"/>
      <c r="X105" s="1434"/>
      <c r="Y105" s="1434"/>
      <c r="Z105" s="1434"/>
      <c r="AA105" s="1435"/>
      <c r="AB105" s="1021"/>
      <c r="AC105" s="637"/>
    </row>
    <row r="106" spans="1:29" ht="19.5" hidden="1" customHeight="1" outlineLevel="1" x14ac:dyDescent="0.25">
      <c r="A106" s="596"/>
      <c r="B106" s="1454" t="str">
        <f>IF(Spells!I68="","",Spells!I68)</f>
        <v/>
      </c>
      <c r="C106" s="1460"/>
      <c r="D106" s="1334"/>
      <c r="E106" s="1455"/>
      <c r="F106" s="1456"/>
      <c r="G106" s="1455"/>
      <c r="H106" s="1456"/>
      <c r="I106" s="1457"/>
      <c r="J106" s="130"/>
      <c r="K106" s="1428" t="str">
        <f>IF(Spells!I116="","",Spells!I116)</f>
        <v/>
      </c>
      <c r="L106" s="749"/>
      <c r="M106" s="1429"/>
      <c r="N106" s="1429"/>
      <c r="O106" s="1429"/>
      <c r="P106" s="1430"/>
      <c r="Q106" s="1430"/>
      <c r="R106" s="1431"/>
      <c r="S106" s="1432"/>
      <c r="T106" s="1433"/>
      <c r="U106" s="749"/>
      <c r="V106" s="1434"/>
      <c r="W106" s="1434"/>
      <c r="X106" s="1434"/>
      <c r="Y106" s="1434"/>
      <c r="Z106" s="1434"/>
      <c r="AA106" s="1435"/>
      <c r="AB106" s="1021"/>
      <c r="AC106" s="637"/>
    </row>
    <row r="107" spans="1:29" ht="19.5" hidden="1" customHeight="1" outlineLevel="1" x14ac:dyDescent="0.25">
      <c r="A107" s="596"/>
      <c r="B107" s="1458" t="str">
        <f>IF(Spells!I70="","","["&amp;Spells!I70&amp;"] "&amp;Spells!I71&amp;" ["&amp;Spells!I73&amp;"]")</f>
        <v/>
      </c>
      <c r="C107" s="1335"/>
      <c r="D107" s="1334"/>
      <c r="E107" s="1455"/>
      <c r="F107" s="1456"/>
      <c r="G107" s="1455"/>
      <c r="H107" s="1459"/>
      <c r="I107" s="1457"/>
      <c r="J107" s="130"/>
      <c r="K107" s="1436" t="str">
        <f>IF(Spells!I118="","","["&amp;Spells!I118&amp;"] "&amp;Spells!I119&amp;" ["&amp;Spells!I121&amp;"]")</f>
        <v/>
      </c>
      <c r="L107" s="749"/>
      <c r="M107" s="1429"/>
      <c r="N107" s="1429"/>
      <c r="O107" s="1429"/>
      <c r="P107" s="1430"/>
      <c r="Q107" s="1430"/>
      <c r="R107" s="1431"/>
      <c r="S107" s="1432"/>
      <c r="T107" s="1433"/>
      <c r="U107" s="749"/>
      <c r="V107" s="1434"/>
      <c r="W107" s="1434"/>
      <c r="X107" s="1434"/>
      <c r="Y107" s="1434"/>
      <c r="Z107" s="1434"/>
      <c r="AA107" s="1435"/>
      <c r="AB107" s="1021"/>
      <c r="AC107" s="637"/>
    </row>
    <row r="108" spans="1:29" ht="19.5" hidden="1" customHeight="1" outlineLevel="1" x14ac:dyDescent="0.25">
      <c r="A108" s="596"/>
      <c r="B108" s="1454" t="str">
        <f>IF(Spells!I72="","",Spells!I72)</f>
        <v/>
      </c>
      <c r="C108" s="1460"/>
      <c r="D108" s="1334"/>
      <c r="E108" s="1455"/>
      <c r="F108" s="1456"/>
      <c r="G108" s="1455"/>
      <c r="H108" s="1459"/>
      <c r="I108" s="1457"/>
      <c r="J108" s="130"/>
      <c r="K108" s="1428" t="str">
        <f>IF(Spells!I120="","",Spells!I120)</f>
        <v/>
      </c>
      <c r="L108" s="749"/>
      <c r="M108" s="1429"/>
      <c r="N108" s="1429"/>
      <c r="O108" s="1429"/>
      <c r="P108" s="1430"/>
      <c r="Q108" s="1430"/>
      <c r="R108" s="1431"/>
      <c r="S108" s="1432"/>
      <c r="T108" s="1433"/>
      <c r="U108" s="749"/>
      <c r="V108" s="1434"/>
      <c r="W108" s="1434"/>
      <c r="X108" s="1434"/>
      <c r="Y108" s="1434"/>
      <c r="Z108" s="1434"/>
      <c r="AA108" s="1435"/>
      <c r="AB108" s="1021"/>
      <c r="AC108" s="637"/>
    </row>
    <row r="109" spans="1:29" ht="19.5" hidden="1" customHeight="1" outlineLevel="1" x14ac:dyDescent="0.25">
      <c r="A109" s="596"/>
      <c r="B109" s="1458" t="str">
        <f>IF(Spells!I74="","","["&amp;Spells!I74&amp;"] "&amp;Spells!I75&amp;" ["&amp;Spells!I77&amp;"]")</f>
        <v/>
      </c>
      <c r="C109" s="1335"/>
      <c r="D109" s="1334"/>
      <c r="E109" s="1455"/>
      <c r="F109" s="1455"/>
      <c r="G109" s="1455"/>
      <c r="H109" s="1459"/>
      <c r="I109" s="1457"/>
      <c r="J109" s="130"/>
      <c r="K109" s="1436" t="str">
        <f>IF(Spells!I122="","","["&amp;Spells!I122&amp;"] "&amp;Spells!I123&amp;" ["&amp;Spells!I125&amp;"]")</f>
        <v/>
      </c>
      <c r="L109" s="749"/>
      <c r="M109" s="1429"/>
      <c r="N109" s="1429"/>
      <c r="O109" s="1429"/>
      <c r="P109" s="1430"/>
      <c r="Q109" s="1430"/>
      <c r="R109" s="1431"/>
      <c r="S109" s="1432"/>
      <c r="T109" s="1433"/>
      <c r="U109" s="749"/>
      <c r="V109" s="1434"/>
      <c r="W109" s="1434"/>
      <c r="X109" s="1434"/>
      <c r="Y109" s="1434"/>
      <c r="Z109" s="1434"/>
      <c r="AA109" s="1435"/>
      <c r="AB109" s="1021"/>
      <c r="AC109" s="637"/>
    </row>
    <row r="110" spans="1:29" ht="19.5" hidden="1" customHeight="1" outlineLevel="1" x14ac:dyDescent="0.25">
      <c r="A110" s="596"/>
      <c r="B110" s="1454" t="str">
        <f>IF(Spells!I76="","",Spells!I76)</f>
        <v/>
      </c>
      <c r="C110" s="1460"/>
      <c r="D110" s="1334"/>
      <c r="E110" s="1455"/>
      <c r="F110" s="1455"/>
      <c r="G110" s="1455"/>
      <c r="H110" s="1459"/>
      <c r="I110" s="1457"/>
      <c r="J110" s="130"/>
      <c r="K110" s="1428" t="str">
        <f>IF(Spells!I124="","",Spells!I124)</f>
        <v/>
      </c>
      <c r="L110" s="749"/>
      <c r="M110" s="1429"/>
      <c r="N110" s="1429"/>
      <c r="O110" s="1429"/>
      <c r="P110" s="1430"/>
      <c r="Q110" s="1430"/>
      <c r="R110" s="1431"/>
      <c r="S110" s="1432"/>
      <c r="T110" s="1433"/>
      <c r="U110" s="749"/>
      <c r="V110" s="1434"/>
      <c r="W110" s="1434"/>
      <c r="X110" s="1434"/>
      <c r="Y110" s="1434"/>
      <c r="Z110" s="1434"/>
      <c r="AA110" s="1435"/>
      <c r="AB110" s="1021"/>
      <c r="AC110" s="637"/>
    </row>
    <row r="111" spans="1:29" ht="19.5" hidden="1" customHeight="1" outlineLevel="1" x14ac:dyDescent="0.25">
      <c r="A111" s="596"/>
      <c r="B111" s="1458" t="str">
        <f>IF(Spells!I78="","","["&amp;Spells!I78&amp;"] "&amp;Spells!I79&amp;" ["&amp;Spells!I81&amp;"]")</f>
        <v/>
      </c>
      <c r="C111" s="1335"/>
      <c r="D111" s="1334"/>
      <c r="E111" s="1455"/>
      <c r="F111" s="1455"/>
      <c r="G111" s="1455"/>
      <c r="H111" s="1459"/>
      <c r="I111" s="1457"/>
      <c r="J111" s="130"/>
      <c r="K111" s="1437" t="str">
        <f>IF(Spells!I126="","","["&amp;Spells!I126&amp;"] "&amp;Spells!I127&amp;" ["&amp;Spells!I129&amp;"]")</f>
        <v/>
      </c>
      <c r="L111" s="749"/>
      <c r="M111" s="1429"/>
      <c r="N111" s="1429"/>
      <c r="O111" s="1429"/>
      <c r="P111" s="1430"/>
      <c r="Q111" s="1430"/>
      <c r="R111" s="1431"/>
      <c r="S111" s="1432"/>
      <c r="T111" s="1438"/>
      <c r="U111" s="749"/>
      <c r="V111" s="1434"/>
      <c r="W111" s="1434"/>
      <c r="X111" s="1434"/>
      <c r="Y111" s="1434"/>
      <c r="Z111" s="1434"/>
      <c r="AA111" s="1435"/>
      <c r="AB111" s="1021"/>
      <c r="AC111" s="637"/>
    </row>
    <row r="112" spans="1:29" ht="19.5" hidden="1" customHeight="1" outlineLevel="1" x14ac:dyDescent="0.25">
      <c r="A112" s="596"/>
      <c r="B112" s="1454" t="str">
        <f>IF(Spells!I80="","",Spells!I80)</f>
        <v/>
      </c>
      <c r="C112" s="1335"/>
      <c r="D112" s="1334"/>
      <c r="E112" s="1455"/>
      <c r="F112" s="1455"/>
      <c r="G112" s="1455"/>
      <c r="H112" s="1459"/>
      <c r="I112" s="1457"/>
      <c r="J112" s="130"/>
      <c r="K112" s="1428" t="str">
        <f>IF(Spells!I128="","",Spells!I128)</f>
        <v/>
      </c>
      <c r="L112" s="749"/>
      <c r="M112" s="1429"/>
      <c r="N112" s="1429"/>
      <c r="O112" s="1429"/>
      <c r="P112" s="1430"/>
      <c r="Q112" s="1430"/>
      <c r="R112" s="1431"/>
      <c r="S112" s="1432"/>
      <c r="T112" s="1438"/>
      <c r="U112" s="1439"/>
      <c r="V112" s="1434"/>
      <c r="W112" s="1434"/>
      <c r="X112" s="1434"/>
      <c r="Y112" s="1434"/>
      <c r="Z112" s="1434"/>
      <c r="AA112" s="1435"/>
      <c r="AB112" s="1021"/>
      <c r="AC112" s="637"/>
    </row>
    <row r="113" spans="1:29" ht="19.5" hidden="1" customHeight="1" outlineLevel="1" x14ac:dyDescent="0.25">
      <c r="A113" s="596"/>
      <c r="B113" s="1458" t="str">
        <f>IF(Spells!I82="","","["&amp;Spells!I82&amp;"] "&amp;Spells!I83&amp;" ["&amp;Spells!I85&amp;"]")</f>
        <v/>
      </c>
      <c r="C113" s="1335"/>
      <c r="D113" s="1334"/>
      <c r="E113" s="1455"/>
      <c r="F113" s="1455"/>
      <c r="G113" s="1455"/>
      <c r="H113" s="1459"/>
      <c r="I113" s="1457"/>
      <c r="J113" s="130"/>
      <c r="K113" s="1446" t="str">
        <f>IF(Spells!I130="","","["&amp;Spells!I130&amp;"] "&amp;Spells!I131&amp;" ["&amp;Spells!I133&amp;"]")</f>
        <v/>
      </c>
      <c r="L113" s="749"/>
      <c r="M113" s="1429"/>
      <c r="N113" s="1429"/>
      <c r="O113" s="1429"/>
      <c r="P113" s="1430"/>
      <c r="Q113" s="1430"/>
      <c r="R113" s="1431"/>
      <c r="S113" s="1432"/>
      <c r="T113" s="1438"/>
      <c r="U113" s="1439"/>
      <c r="V113" s="1434"/>
      <c r="W113" s="1434"/>
      <c r="X113" s="1434"/>
      <c r="Y113" s="1434"/>
      <c r="Z113" s="1434"/>
      <c r="AA113" s="1435"/>
      <c r="AB113" s="1021"/>
      <c r="AC113" s="637"/>
    </row>
    <row r="114" spans="1:29" ht="19.5" hidden="1" customHeight="1" outlineLevel="1" x14ac:dyDescent="0.25">
      <c r="A114" s="596"/>
      <c r="B114" s="1454" t="str">
        <f>IF(Spells!I84="","",Spells!I84)</f>
        <v/>
      </c>
      <c r="C114" s="1335"/>
      <c r="D114" s="1334"/>
      <c r="E114" s="1455"/>
      <c r="F114" s="1455"/>
      <c r="G114" s="1455"/>
      <c r="H114" s="1459"/>
      <c r="I114" s="1457"/>
      <c r="J114" s="130"/>
      <c r="K114" s="1428" t="str">
        <f>IF(Spells!I132="","",Spells!I132)</f>
        <v/>
      </c>
      <c r="L114" s="1439"/>
      <c r="M114" s="1429"/>
      <c r="N114" s="1429"/>
      <c r="O114" s="1429"/>
      <c r="P114" s="1430"/>
      <c r="Q114" s="1430"/>
      <c r="R114" s="1431"/>
      <c r="S114" s="1432"/>
      <c r="T114" s="1438"/>
      <c r="U114" s="1439"/>
      <c r="V114" s="1434"/>
      <c r="W114" s="1434"/>
      <c r="X114" s="1434"/>
      <c r="Y114" s="1434"/>
      <c r="Z114" s="1434"/>
      <c r="AA114" s="1435"/>
      <c r="AB114" s="1021"/>
      <c r="AC114" s="637"/>
    </row>
    <row r="115" spans="1:29" ht="19.5" hidden="1" customHeight="1" outlineLevel="1" x14ac:dyDescent="0.25">
      <c r="A115" s="596"/>
      <c r="B115" s="1458" t="str">
        <f>IF(Spells!I86="","","["&amp;Spells!I86&amp;"] "&amp;Spells!I87&amp;" ["&amp;Spells!I89&amp;"]")</f>
        <v/>
      </c>
      <c r="C115" s="1335"/>
      <c r="D115" s="1334"/>
      <c r="E115" s="1455"/>
      <c r="F115" s="1455"/>
      <c r="G115" s="1455"/>
      <c r="H115" s="1459"/>
      <c r="I115" s="1457"/>
      <c r="J115" s="130"/>
      <c r="K115" s="1437" t="str">
        <f>IF(Spells!I134="","","["&amp;Spells!I134&amp;"] "&amp;Spells!I135&amp;" ["&amp;Spells!I137&amp;"]")</f>
        <v/>
      </c>
      <c r="L115" s="1439"/>
      <c r="M115" s="1429"/>
      <c r="N115" s="1429"/>
      <c r="O115" s="1429"/>
      <c r="P115" s="1430"/>
      <c r="Q115" s="1430"/>
      <c r="R115" s="1431"/>
      <c r="S115" s="1432"/>
      <c r="T115" s="1438"/>
      <c r="U115" s="1439"/>
      <c r="V115" s="1434"/>
      <c r="W115" s="1434"/>
      <c r="X115" s="1434"/>
      <c r="Y115" s="1434"/>
      <c r="Z115" s="1434"/>
      <c r="AA115" s="1435"/>
      <c r="AB115" s="1021"/>
      <c r="AC115" s="637"/>
    </row>
    <row r="116" spans="1:29" ht="19.5" hidden="1" customHeight="1" outlineLevel="1" x14ac:dyDescent="0.25">
      <c r="A116" s="596"/>
      <c r="B116" s="1454" t="str">
        <f>IF(Spells!I88="","",Spells!I88)</f>
        <v/>
      </c>
      <c r="C116" s="1335"/>
      <c r="D116" s="1334"/>
      <c r="E116" s="1455"/>
      <c r="F116" s="1455"/>
      <c r="G116" s="1455"/>
      <c r="H116" s="1459"/>
      <c r="I116" s="1457"/>
      <c r="J116" s="130"/>
      <c r="K116" s="1428" t="str">
        <f>IF(Spells!I136="","",Spells!I136)</f>
        <v/>
      </c>
      <c r="L116" s="1439"/>
      <c r="M116" s="1429"/>
      <c r="N116" s="1429"/>
      <c r="O116" s="1429"/>
      <c r="P116" s="1430"/>
      <c r="Q116" s="1430"/>
      <c r="R116" s="1431"/>
      <c r="S116" s="1432"/>
      <c r="T116" s="1438"/>
      <c r="U116" s="1439"/>
      <c r="V116" s="1434"/>
      <c r="W116" s="1434"/>
      <c r="X116" s="1434"/>
      <c r="Y116" s="1434"/>
      <c r="Z116" s="1434"/>
      <c r="AA116" s="1435"/>
      <c r="AB116" s="1021"/>
      <c r="AC116" s="637"/>
    </row>
    <row r="117" spans="1:29" ht="19.5" hidden="1" customHeight="1" outlineLevel="1" x14ac:dyDescent="0.25">
      <c r="A117" s="596"/>
      <c r="B117" s="1458" t="str">
        <f>IF(Spells!I90="","","["&amp;Spells!I90&amp;"] "&amp;Spells!I91&amp;" ["&amp;Spells!I93&amp;"]")</f>
        <v/>
      </c>
      <c r="C117" s="1335"/>
      <c r="D117" s="1334"/>
      <c r="E117" s="1455"/>
      <c r="F117" s="1455"/>
      <c r="G117" s="1455"/>
      <c r="H117" s="1459"/>
      <c r="I117" s="1457"/>
      <c r="J117" s="130"/>
      <c r="K117" s="1437" t="str">
        <f>IF(Spells!I138="","","["&amp;Spells!I138&amp;"] "&amp;Spells!I139&amp;" ["&amp;Spells!I141&amp;"]")</f>
        <v/>
      </c>
      <c r="L117" s="1439"/>
      <c r="M117" s="1429"/>
      <c r="N117" s="1429"/>
      <c r="O117" s="1429"/>
      <c r="P117" s="1430"/>
      <c r="Q117" s="1430"/>
      <c r="R117" s="1431"/>
      <c r="S117" s="1432"/>
      <c r="T117" s="1438"/>
      <c r="U117" s="1439"/>
      <c r="V117" s="1434"/>
      <c r="W117" s="1434"/>
      <c r="X117" s="1434"/>
      <c r="Y117" s="1434"/>
      <c r="Z117" s="1434"/>
      <c r="AA117" s="1435"/>
      <c r="AB117" s="1021"/>
      <c r="AC117" s="637"/>
    </row>
    <row r="118" spans="1:29" ht="19.5" hidden="1" customHeight="1" outlineLevel="1" x14ac:dyDescent="0.25">
      <c r="A118" s="596"/>
      <c r="B118" s="1454" t="str">
        <f>IF(Spells!I92="","",Spells!I92)</f>
        <v/>
      </c>
      <c r="C118" s="1335"/>
      <c r="D118" s="1334"/>
      <c r="E118" s="1455"/>
      <c r="F118" s="1455"/>
      <c r="G118" s="1455"/>
      <c r="H118" s="1459"/>
      <c r="I118" s="1457"/>
      <c r="J118" s="130"/>
      <c r="K118" s="1428" t="str">
        <f>IF(Spells!I140="","",Spells!I140)</f>
        <v/>
      </c>
      <c r="L118" s="1439"/>
      <c r="M118" s="1429"/>
      <c r="N118" s="1429"/>
      <c r="O118" s="1429"/>
      <c r="P118" s="1430"/>
      <c r="Q118" s="1430"/>
      <c r="R118" s="1431"/>
      <c r="S118" s="1432"/>
      <c r="T118" s="1438"/>
      <c r="U118" s="1439"/>
      <c r="V118" s="1434"/>
      <c r="W118" s="1434"/>
      <c r="X118" s="1434"/>
      <c r="Y118" s="1434"/>
      <c r="Z118" s="1434"/>
      <c r="AA118" s="1435"/>
      <c r="AB118" s="1021"/>
      <c r="AC118" s="637"/>
    </row>
    <row r="119" spans="1:29" ht="19.5" hidden="1" customHeight="1" outlineLevel="1" x14ac:dyDescent="0.25">
      <c r="A119" s="596"/>
      <c r="B119" s="1458" t="str">
        <f>IF(Spells!I94="","","["&amp;Spells!I94&amp;"] "&amp;Spells!I95&amp;" ["&amp;Spells!I97&amp;"]")</f>
        <v/>
      </c>
      <c r="C119" s="1335"/>
      <c r="D119" s="1334"/>
      <c r="E119" s="1455"/>
      <c r="F119" s="1455"/>
      <c r="G119" s="1455"/>
      <c r="H119" s="1459"/>
      <c r="I119" s="1457"/>
      <c r="J119" s="130"/>
      <c r="K119" s="1437" t="str">
        <f>IF(Spells!I142="","","["&amp;Spells!I142&amp;"] "&amp;Spells!I143&amp;" ["&amp;Spells!I145&amp;"]")</f>
        <v/>
      </c>
      <c r="L119" s="1439"/>
      <c r="M119" s="1429"/>
      <c r="N119" s="1429"/>
      <c r="O119" s="1429"/>
      <c r="P119" s="1430"/>
      <c r="Q119" s="1430"/>
      <c r="R119" s="1431"/>
      <c r="S119" s="1432"/>
      <c r="T119" s="1438"/>
      <c r="U119" s="1439"/>
      <c r="V119" s="1434"/>
      <c r="W119" s="1434"/>
      <c r="X119" s="1434"/>
      <c r="Y119" s="1434"/>
      <c r="Z119" s="1434"/>
      <c r="AA119" s="1435"/>
      <c r="AB119" s="1021"/>
      <c r="AC119" s="637"/>
    </row>
    <row r="120" spans="1:29" ht="19.5" hidden="1" customHeight="1" outlineLevel="1" x14ac:dyDescent="0.25">
      <c r="A120" s="596"/>
      <c r="B120" s="1461" t="str">
        <f>IF(Spells!I96="","",Spells!I96)</f>
        <v/>
      </c>
      <c r="C120" s="1338"/>
      <c r="D120" s="1462"/>
      <c r="E120" s="1463"/>
      <c r="F120" s="1463"/>
      <c r="G120" s="1463"/>
      <c r="H120" s="1464"/>
      <c r="I120" s="1465"/>
      <c r="J120" s="130"/>
      <c r="K120" s="1428" t="str">
        <f>IF(Spells!I144="","",Spells!I144)</f>
        <v/>
      </c>
      <c r="L120" s="1439"/>
      <c r="M120" s="1429"/>
      <c r="N120" s="1429"/>
      <c r="O120" s="1429"/>
      <c r="P120" s="1430"/>
      <c r="Q120" s="1430"/>
      <c r="R120" s="1431"/>
      <c r="S120" s="1432"/>
      <c r="T120" s="1438"/>
      <c r="U120" s="1439"/>
      <c r="V120" s="1434"/>
      <c r="W120" s="1434"/>
      <c r="X120" s="1434"/>
      <c r="Y120" s="1434"/>
      <c r="Z120" s="1434"/>
      <c r="AA120" s="1435"/>
      <c r="AB120" s="1021"/>
      <c r="AC120" s="637"/>
    </row>
    <row r="121" spans="1:29" ht="19.5" hidden="1" customHeight="1" outlineLevel="1" x14ac:dyDescent="0.25">
      <c r="A121" s="596"/>
      <c r="C121" s="1021"/>
      <c r="D121" s="130"/>
      <c r="E121" s="130"/>
      <c r="F121" s="130"/>
      <c r="G121" s="130"/>
      <c r="H121" s="130"/>
      <c r="I121" s="130"/>
      <c r="J121" s="130"/>
      <c r="K121" s="1437" t="str">
        <f>IF(Spells!I146="","","["&amp;Spells!I146&amp;"] "&amp;Spells!I147&amp;" ["&amp;Spells!I149&amp;"]")</f>
        <v/>
      </c>
      <c r="L121" s="1439"/>
      <c r="M121" s="1434"/>
      <c r="N121" s="1434"/>
      <c r="O121" s="1434"/>
      <c r="P121" s="1434"/>
      <c r="Q121" s="1434"/>
      <c r="R121" s="1435"/>
      <c r="S121" s="1432"/>
      <c r="T121" s="1438"/>
      <c r="U121" s="1439"/>
      <c r="V121" s="1434"/>
      <c r="W121" s="1434"/>
      <c r="X121" s="1434"/>
      <c r="Y121" s="1434"/>
      <c r="Z121" s="1434"/>
      <c r="AA121" s="1435"/>
      <c r="AB121" s="1021"/>
      <c r="AC121" s="637"/>
    </row>
    <row r="122" spans="1:29" ht="19.5" hidden="1" customHeight="1" outlineLevel="1" collapsed="1" x14ac:dyDescent="0.25">
      <c r="A122" s="596"/>
      <c r="B122" s="676" t="s">
        <v>558</v>
      </c>
      <c r="C122" s="457"/>
      <c r="D122" s="496"/>
      <c r="E122" s="457"/>
      <c r="F122" s="456"/>
      <c r="G122" s="496"/>
      <c r="H122" s="495"/>
      <c r="I122" s="456"/>
      <c r="J122" s="130"/>
      <c r="K122" s="1428" t="str">
        <f>IF(Spells!I148="","",Spells!I148)</f>
        <v/>
      </c>
      <c r="L122" s="1439"/>
      <c r="M122" s="1434"/>
      <c r="N122" s="1434"/>
      <c r="O122" s="1434"/>
      <c r="P122" s="1434"/>
      <c r="Q122" s="1434"/>
      <c r="R122" s="1435"/>
      <c r="S122" s="1432"/>
      <c r="T122" s="1438"/>
      <c r="U122" s="1439"/>
      <c r="V122" s="1434"/>
      <c r="W122" s="1434"/>
      <c r="X122" s="1434"/>
      <c r="Y122" s="1434"/>
      <c r="Z122" s="1434"/>
      <c r="AA122" s="1435"/>
      <c r="AB122" s="1021"/>
      <c r="AC122" s="637"/>
    </row>
    <row r="123" spans="1:29" ht="19.5" hidden="1" customHeight="1" outlineLevel="1" x14ac:dyDescent="0.25">
      <c r="A123" s="596"/>
      <c r="B123" s="1482" t="str">
        <f>IF(Spells!I37="","","["&amp;Spells!I37&amp;"] "&amp;Spells!I38&amp;" ["&amp;Spells!I40&amp;"]")</f>
        <v/>
      </c>
      <c r="C123" s="1466"/>
      <c r="D123" s="706"/>
      <c r="E123" s="706"/>
      <c r="F123" s="706"/>
      <c r="G123" s="706"/>
      <c r="H123" s="1483"/>
      <c r="I123" s="708"/>
      <c r="J123" s="130"/>
      <c r="K123" s="1437" t="str">
        <f>IF(Spells!I150="","","["&amp;Spells!I150&amp;"] "&amp;Spells!I151&amp;" ["&amp;Spells!I153&amp;"]")</f>
        <v/>
      </c>
      <c r="L123" s="1439"/>
      <c r="M123" s="1434"/>
      <c r="N123" s="1434"/>
      <c r="O123" s="1434"/>
      <c r="P123" s="1434"/>
      <c r="Q123" s="1434"/>
      <c r="R123" s="1435"/>
      <c r="S123" s="1432"/>
      <c r="T123" s="1438"/>
      <c r="U123" s="1439"/>
      <c r="V123" s="1434"/>
      <c r="W123" s="1434"/>
      <c r="X123" s="1434"/>
      <c r="Y123" s="1434"/>
      <c r="Z123" s="1434"/>
      <c r="AA123" s="1435"/>
      <c r="AB123" s="1021"/>
      <c r="AC123" s="637"/>
    </row>
    <row r="124" spans="1:29" ht="19.5" hidden="1" customHeight="1" outlineLevel="1" x14ac:dyDescent="0.25">
      <c r="A124" s="596"/>
      <c r="B124" s="1484" t="str">
        <f>IF(Spells!I39="","",Spells!I39)</f>
        <v/>
      </c>
      <c r="C124" s="1485"/>
      <c r="D124" s="1485"/>
      <c r="E124" s="1485"/>
      <c r="F124" s="1485"/>
      <c r="G124" s="1485"/>
      <c r="H124" s="1486"/>
      <c r="I124" s="1487"/>
      <c r="J124" s="130"/>
      <c r="K124" s="1447" t="str">
        <f>IF(Spells!I152="","",Spells!I152)</f>
        <v/>
      </c>
      <c r="L124" s="1439"/>
      <c r="M124" s="1434"/>
      <c r="N124" s="1434"/>
      <c r="O124" s="1434"/>
      <c r="P124" s="1434"/>
      <c r="Q124" s="1434"/>
      <c r="R124" s="1435"/>
      <c r="S124" s="1432"/>
      <c r="T124" s="1438"/>
      <c r="U124" s="1439"/>
      <c r="V124" s="1434"/>
      <c r="W124" s="1434"/>
      <c r="X124" s="1434"/>
      <c r="Y124" s="1434"/>
      <c r="Z124" s="1434"/>
      <c r="AA124" s="1435"/>
      <c r="AB124" s="1021"/>
      <c r="AC124" s="637"/>
    </row>
    <row r="125" spans="1:29" ht="19.5" hidden="1" customHeight="1" outlineLevel="1" x14ac:dyDescent="0.25">
      <c r="A125" s="596"/>
      <c r="B125" s="1488" t="str">
        <f>IF(Spells!I41="","","["&amp;Spells!I41&amp;"] "&amp;Spells!I42&amp;" ["&amp;Spells!I44&amp;"]")</f>
        <v/>
      </c>
      <c r="C125" s="1485"/>
      <c r="D125" s="1485"/>
      <c r="E125" s="1485"/>
      <c r="F125" s="1485"/>
      <c r="G125" s="1485"/>
      <c r="H125" s="1489"/>
      <c r="I125" s="1487"/>
      <c r="J125" s="130"/>
      <c r="K125" s="1437" t="str">
        <f>IF(Spells!I154="","","["&amp;Spells!I154&amp;"] "&amp;Spells!I155&amp;" ["&amp;Spells!I157&amp;"]")</f>
        <v/>
      </c>
      <c r="L125" s="1439"/>
      <c r="M125" s="1434"/>
      <c r="N125" s="1434"/>
      <c r="O125" s="1434"/>
      <c r="P125" s="1434"/>
      <c r="Q125" s="1434"/>
      <c r="R125" s="1435"/>
      <c r="S125" s="1432"/>
      <c r="T125" s="1438"/>
      <c r="U125" s="1439"/>
      <c r="V125" s="1434"/>
      <c r="W125" s="1434"/>
      <c r="X125" s="1434"/>
      <c r="Y125" s="1434"/>
      <c r="Z125" s="1434"/>
      <c r="AA125" s="1435"/>
      <c r="AB125" s="1021"/>
      <c r="AC125" s="637"/>
    </row>
    <row r="126" spans="1:29" ht="19.5" hidden="1" customHeight="1" outlineLevel="1" x14ac:dyDescent="0.25">
      <c r="A126" s="596"/>
      <c r="B126" s="1490" t="str">
        <f>IF(Spells!I43="","",Spells!I43)</f>
        <v/>
      </c>
      <c r="C126" s="711"/>
      <c r="D126" s="711"/>
      <c r="E126" s="711"/>
      <c r="F126" s="711"/>
      <c r="G126" s="711"/>
      <c r="H126" s="1420"/>
      <c r="I126" s="713"/>
      <c r="J126" s="130"/>
      <c r="K126" s="1447" t="str">
        <f>IF(Spells!I156="","",Spells!I156)</f>
        <v/>
      </c>
      <c r="L126" s="1439"/>
      <c r="M126" s="1434"/>
      <c r="N126" s="1434"/>
      <c r="O126" s="1434"/>
      <c r="P126" s="1434"/>
      <c r="Q126" s="1434"/>
      <c r="R126" s="1435"/>
      <c r="S126" s="1432"/>
      <c r="T126" s="1438"/>
      <c r="U126" s="1439"/>
      <c r="V126" s="1434"/>
      <c r="W126" s="1434"/>
      <c r="X126" s="1434"/>
      <c r="Y126" s="1434"/>
      <c r="Z126" s="1434"/>
      <c r="AA126" s="1435"/>
      <c r="AB126" s="1021"/>
      <c r="AC126" s="637"/>
    </row>
    <row r="127" spans="1:29" ht="19.5" hidden="1" customHeight="1" outlineLevel="1" x14ac:dyDescent="0.25">
      <c r="A127" s="596"/>
      <c r="C127" s="1021"/>
      <c r="D127" s="130"/>
      <c r="E127" s="130"/>
      <c r="F127" s="130"/>
      <c r="G127" s="130"/>
      <c r="H127" s="130"/>
      <c r="I127" s="130"/>
      <c r="J127" s="130"/>
      <c r="K127" s="1437" t="str">
        <f>IF(Spells!I158="","","["&amp;Spells!I158&amp;"] "&amp;Spells!I159&amp;" ["&amp;Spells!I161&amp;"]")</f>
        <v/>
      </c>
      <c r="L127" s="1439"/>
      <c r="M127" s="1434"/>
      <c r="N127" s="1434"/>
      <c r="O127" s="1434"/>
      <c r="P127" s="1434"/>
      <c r="Q127" s="1434"/>
      <c r="R127" s="1435"/>
      <c r="S127" s="1432"/>
      <c r="T127" s="1438"/>
      <c r="U127" s="1439"/>
      <c r="V127" s="1434"/>
      <c r="W127" s="1434"/>
      <c r="X127" s="1434"/>
      <c r="Y127" s="1434"/>
      <c r="Z127" s="1434"/>
      <c r="AA127" s="1435"/>
      <c r="AB127" s="1021"/>
      <c r="AC127" s="637"/>
    </row>
    <row r="128" spans="1:29" ht="19.5" hidden="1" customHeight="1" outlineLevel="1" x14ac:dyDescent="0.25">
      <c r="A128" s="596"/>
      <c r="B128" s="495" t="s">
        <v>164</v>
      </c>
      <c r="C128" s="457"/>
      <c r="D128" s="495" t="s">
        <v>560</v>
      </c>
      <c r="E128" s="130"/>
      <c r="F128" s="130"/>
      <c r="G128" s="130"/>
      <c r="H128" s="130"/>
      <c r="I128" s="130"/>
      <c r="J128" s="130"/>
      <c r="K128" s="1447" t="str">
        <f>IF(Spells!I160="","",Spells!I160)</f>
        <v/>
      </c>
      <c r="L128" s="1439"/>
      <c r="M128" s="1434"/>
      <c r="N128" s="1434"/>
      <c r="O128" s="1434"/>
      <c r="P128" s="1434"/>
      <c r="Q128" s="1434"/>
      <c r="R128" s="1435"/>
      <c r="S128" s="1432"/>
      <c r="T128" s="1438"/>
      <c r="U128" s="1439"/>
      <c r="V128" s="1434"/>
      <c r="W128" s="1434"/>
      <c r="X128" s="1434"/>
      <c r="Y128" s="1434"/>
      <c r="Z128" s="1434"/>
      <c r="AA128" s="1435"/>
      <c r="AB128" s="1021"/>
      <c r="AC128" s="637"/>
    </row>
    <row r="129" spans="1:29" ht="19.5" hidden="1" customHeight="1" outlineLevel="1" x14ac:dyDescent="0.3">
      <c r="A129" s="596"/>
      <c r="B129" s="770" t="str">
        <f>IF(Spells!I45="","",Spells!I45)</f>
        <v/>
      </c>
      <c r="C129" s="130"/>
      <c r="D129" s="497"/>
      <c r="E129" s="130"/>
      <c r="F129" s="130"/>
      <c r="G129" s="130"/>
      <c r="H129" s="130"/>
      <c r="I129" s="130"/>
      <c r="J129" s="130"/>
      <c r="K129" s="1437" t="str">
        <f>IF(Spells!I162="","","["&amp;Spells!I162&amp;"] "&amp;Spells!I163&amp;" ["&amp;Spells!I165&amp;"]")</f>
        <v/>
      </c>
      <c r="L129" s="1439"/>
      <c r="M129" s="1434"/>
      <c r="N129" s="1434"/>
      <c r="O129" s="1434"/>
      <c r="P129" s="1434"/>
      <c r="Q129" s="1434"/>
      <c r="R129" s="1435"/>
      <c r="S129" s="1432"/>
      <c r="T129" s="1438"/>
      <c r="U129" s="1439"/>
      <c r="V129" s="1434"/>
      <c r="W129" s="1434"/>
      <c r="X129" s="1434"/>
      <c r="Y129" s="1434"/>
      <c r="Z129" s="1434"/>
      <c r="AA129" s="1435"/>
      <c r="AB129" s="1021"/>
      <c r="AC129" s="637"/>
    </row>
    <row r="130" spans="1:29" ht="19.5" hidden="1" customHeight="1" outlineLevel="1" x14ac:dyDescent="0.25">
      <c r="A130" s="596"/>
      <c r="B130" s="676" t="s">
        <v>559</v>
      </c>
      <c r="C130" s="457"/>
      <c r="D130" s="496"/>
      <c r="E130" s="457"/>
      <c r="F130" s="456"/>
      <c r="G130" s="496"/>
      <c r="H130" s="495"/>
      <c r="I130" s="456"/>
      <c r="J130" s="130"/>
      <c r="K130" s="1447" t="str">
        <f>IF(Spells!I164="","",Spells!I164)</f>
        <v/>
      </c>
      <c r="L130" s="1439"/>
      <c r="M130" s="1434"/>
      <c r="N130" s="1434"/>
      <c r="O130" s="1434"/>
      <c r="P130" s="1434"/>
      <c r="Q130" s="1434"/>
      <c r="R130" s="1435"/>
      <c r="S130" s="1432"/>
      <c r="T130" s="1438"/>
      <c r="U130" s="1439"/>
      <c r="V130" s="1434"/>
      <c r="W130" s="1434"/>
      <c r="X130" s="1434"/>
      <c r="Y130" s="1434"/>
      <c r="Z130" s="1434"/>
      <c r="AA130" s="1435"/>
      <c r="AB130" s="1021"/>
      <c r="AC130" s="637"/>
    </row>
    <row r="131" spans="1:29" ht="19.5" hidden="1" customHeight="1" outlineLevel="1" x14ac:dyDescent="0.25">
      <c r="A131" s="596"/>
      <c r="B131" s="1467" t="str">
        <f>IF(Spells!I46="","","["&amp;Spells!I46&amp;"] "&amp;Spells!I47&amp;" ["&amp;Spells!I49&amp;"]")</f>
        <v/>
      </c>
      <c r="C131" s="1468"/>
      <c r="D131" s="1469"/>
      <c r="E131" s="1470"/>
      <c r="F131" s="1470"/>
      <c r="G131" s="1470"/>
      <c r="H131" s="1470"/>
      <c r="I131" s="1471"/>
      <c r="J131" s="130"/>
      <c r="K131" s="1437" t="str">
        <f>IF(Spells!I166="","","["&amp;Spells!I166&amp;"] "&amp;Spells!I167&amp;" ["&amp;Spells!I169&amp;"]")</f>
        <v/>
      </c>
      <c r="L131" s="1439"/>
      <c r="M131" s="1434"/>
      <c r="N131" s="1434"/>
      <c r="O131" s="1434"/>
      <c r="P131" s="1434"/>
      <c r="Q131" s="1434"/>
      <c r="R131" s="1435"/>
      <c r="S131" s="1432"/>
      <c r="T131" s="1438"/>
      <c r="U131" s="1439"/>
      <c r="V131" s="1434"/>
      <c r="W131" s="1434"/>
      <c r="X131" s="1434"/>
      <c r="Y131" s="1434"/>
      <c r="Z131" s="1434"/>
      <c r="AA131" s="1435"/>
      <c r="AB131" s="1021"/>
      <c r="AC131" s="637"/>
    </row>
    <row r="132" spans="1:29" ht="19.5" hidden="1" customHeight="1" outlineLevel="1" x14ac:dyDescent="0.25">
      <c r="A132" s="596"/>
      <c r="B132" s="1472" t="str">
        <f>IF(Spells!I48="","",Spells!I48)</f>
        <v/>
      </c>
      <c r="C132" s="1473"/>
      <c r="D132" s="1474"/>
      <c r="E132" s="1474"/>
      <c r="F132" s="1474"/>
      <c r="G132" s="1474"/>
      <c r="H132" s="1473"/>
      <c r="I132" s="1475"/>
      <c r="J132" s="130"/>
      <c r="K132" s="1447" t="str">
        <f>IF(Spells!I168="","",Spells!I168)</f>
        <v/>
      </c>
      <c r="L132" s="1439"/>
      <c r="M132" s="1434"/>
      <c r="N132" s="1434"/>
      <c r="O132" s="1434"/>
      <c r="P132" s="1434"/>
      <c r="Q132" s="1434"/>
      <c r="R132" s="1435"/>
      <c r="S132" s="1432"/>
      <c r="T132" s="1438"/>
      <c r="U132" s="1439"/>
      <c r="V132" s="1434"/>
      <c r="W132" s="1434"/>
      <c r="X132" s="1434"/>
      <c r="Y132" s="1434"/>
      <c r="Z132" s="1434"/>
      <c r="AA132" s="1435"/>
      <c r="AB132" s="1021"/>
      <c r="AC132" s="637"/>
    </row>
    <row r="133" spans="1:29" ht="19.5" hidden="1" customHeight="1" outlineLevel="1" x14ac:dyDescent="0.25">
      <c r="A133" s="596"/>
      <c r="B133" s="1476" t="str">
        <f>IF(Spells!I50="","","["&amp;Spells!I50&amp;"] "&amp;Spells!I51&amp;" ["&amp;Spells!I53&amp;"]")</f>
        <v/>
      </c>
      <c r="C133" s="1477"/>
      <c r="D133" s="1474"/>
      <c r="E133" s="1474"/>
      <c r="F133" s="1474"/>
      <c r="G133" s="1474"/>
      <c r="H133" s="1474"/>
      <c r="I133" s="1475"/>
      <c r="J133" s="130"/>
      <c r="K133" s="1437" t="str">
        <f>IF(Spells!I170="","","["&amp;Spells!I170&amp;"] "&amp;Spells!I171&amp;" ["&amp;Spells!I173&amp;"]")</f>
        <v/>
      </c>
      <c r="L133" s="1439"/>
      <c r="M133" s="1434"/>
      <c r="N133" s="1434"/>
      <c r="O133" s="1434"/>
      <c r="P133" s="1434"/>
      <c r="Q133" s="1434"/>
      <c r="R133" s="1435"/>
      <c r="S133" s="1432"/>
      <c r="T133" s="1438"/>
      <c r="U133" s="1439"/>
      <c r="V133" s="1434"/>
      <c r="W133" s="1434"/>
      <c r="X133" s="1434"/>
      <c r="Y133" s="1434"/>
      <c r="Z133" s="1434"/>
      <c r="AA133" s="1435"/>
      <c r="AB133" s="1021"/>
      <c r="AC133" s="637"/>
    </row>
    <row r="134" spans="1:29" ht="19.5" hidden="1" customHeight="1" outlineLevel="1" x14ac:dyDescent="0.25">
      <c r="A134" s="596"/>
      <c r="B134" s="1478" t="str">
        <f>IF(Spells!I52="","",Spells!I52)</f>
        <v/>
      </c>
      <c r="C134" s="1479"/>
      <c r="D134" s="1480"/>
      <c r="E134" s="1480"/>
      <c r="F134" s="1480"/>
      <c r="G134" s="1480"/>
      <c r="H134" s="1479"/>
      <c r="I134" s="1481"/>
      <c r="J134" s="130"/>
      <c r="K134" s="1448" t="str">
        <f>IF(Spells!I172="","",Spells!I172)</f>
        <v/>
      </c>
      <c r="L134" s="1442"/>
      <c r="M134" s="1443"/>
      <c r="N134" s="1443"/>
      <c r="O134" s="1443"/>
      <c r="P134" s="1443"/>
      <c r="Q134" s="1443"/>
      <c r="R134" s="1444"/>
      <c r="S134" s="1432"/>
      <c r="T134" s="1445"/>
      <c r="U134" s="1442"/>
      <c r="V134" s="1443"/>
      <c r="W134" s="1443"/>
      <c r="X134" s="1443"/>
      <c r="Y134" s="1443"/>
      <c r="Z134" s="1443"/>
      <c r="AA134" s="1444"/>
      <c r="AB134" s="1021"/>
      <c r="AC134" s="637"/>
    </row>
    <row r="135" spans="1:29" ht="19.5" hidden="1" customHeight="1" outlineLevel="1" collapsed="1" thickBot="1" x14ac:dyDescent="0.3">
      <c r="A135" s="677"/>
      <c r="B135" s="678"/>
      <c r="C135" s="679"/>
      <c r="D135" s="679"/>
      <c r="E135" s="679"/>
      <c r="F135" s="679"/>
      <c r="G135" s="679"/>
      <c r="H135" s="651"/>
      <c r="I135" s="679"/>
      <c r="J135" s="679"/>
      <c r="K135" s="680"/>
      <c r="L135" s="681"/>
      <c r="M135" s="678"/>
      <c r="N135" s="678"/>
      <c r="O135" s="678"/>
      <c r="P135" s="678"/>
      <c r="Q135" s="678"/>
      <c r="R135" s="678"/>
      <c r="S135" s="679"/>
      <c r="T135" s="679"/>
      <c r="U135" s="681"/>
      <c r="V135" s="679"/>
      <c r="W135" s="679"/>
      <c r="X135" s="679"/>
      <c r="Y135" s="679"/>
      <c r="Z135" s="651"/>
      <c r="AA135" s="651"/>
      <c r="AB135" s="651"/>
      <c r="AC135" s="652"/>
    </row>
    <row r="136" spans="1:29" ht="19.5" customHeight="1" collapsed="1" x14ac:dyDescent="0.25">
      <c r="A136" s="682"/>
      <c r="B136" s="683"/>
      <c r="C136" s="684"/>
      <c r="D136" s="684"/>
      <c r="E136" s="684"/>
      <c r="F136" s="684"/>
      <c r="G136" s="684"/>
      <c r="H136" s="633"/>
      <c r="I136" s="684"/>
      <c r="J136" s="684"/>
      <c r="K136" s="685"/>
      <c r="L136" s="686"/>
      <c r="M136" s="683"/>
      <c r="N136" s="683"/>
      <c r="O136" s="683"/>
      <c r="P136" s="683"/>
      <c r="Q136" s="683"/>
      <c r="R136" s="683"/>
      <c r="S136" s="684"/>
      <c r="T136" s="684"/>
      <c r="U136" s="686"/>
      <c r="V136" s="684"/>
      <c r="W136" s="684"/>
      <c r="X136" s="684"/>
      <c r="Y136" s="684"/>
      <c r="Z136" s="633"/>
      <c r="AA136" s="633"/>
      <c r="AB136" s="633"/>
      <c r="AC136" s="635"/>
    </row>
    <row r="137" spans="1:29" s="458" customFormat="1" ht="19.5" customHeight="1" x14ac:dyDescent="0.3">
      <c r="A137" s="687"/>
      <c r="B137" s="675" t="s">
        <v>561</v>
      </c>
      <c r="C137" s="675"/>
      <c r="D137" s="675"/>
      <c r="E137" s="675"/>
      <c r="F137" s="675"/>
      <c r="G137" s="675"/>
      <c r="H137" s="675"/>
      <c r="I137" s="675"/>
      <c r="J137" s="675"/>
      <c r="K137" s="657" t="s">
        <v>515</v>
      </c>
      <c r="L137" s="644"/>
      <c r="M137" s="644"/>
      <c r="N137" s="644"/>
      <c r="O137" s="675"/>
      <c r="P137" s="675"/>
      <c r="Q137" s="675"/>
      <c r="R137" s="675"/>
      <c r="S137" s="1022"/>
      <c r="T137" s="1022"/>
      <c r="U137" s="1022"/>
      <c r="V137" s="1022"/>
      <c r="W137" s="675"/>
      <c r="X137" s="675"/>
      <c r="Y137" s="675"/>
      <c r="Z137" s="1022"/>
      <c r="AA137" s="1022"/>
      <c r="AB137" s="1022"/>
      <c r="AC137" s="649"/>
    </row>
    <row r="138" spans="1:29" ht="19.5" customHeight="1" x14ac:dyDescent="0.25">
      <c r="A138" s="656"/>
      <c r="B138" s="689" t="s">
        <v>517</v>
      </c>
      <c r="C138" s="690"/>
      <c r="D138" s="690"/>
      <c r="E138" s="690"/>
      <c r="F138" s="691" t="s">
        <v>518</v>
      </c>
      <c r="G138" s="690"/>
      <c r="H138" s="690"/>
      <c r="I138" s="1491"/>
      <c r="J138" s="454"/>
      <c r="K138" s="1494" t="str">
        <f>IF(Création!I12="","",Création!I12)</f>
        <v>Common</v>
      </c>
      <c r="L138" s="1495"/>
      <c r="M138" s="1495"/>
      <c r="N138" s="1496"/>
      <c r="O138" s="454"/>
      <c r="P138" s="454"/>
      <c r="Q138" s="454"/>
      <c r="R138" s="454"/>
      <c r="S138" s="1021"/>
      <c r="T138" s="1021"/>
      <c r="U138" s="1021"/>
      <c r="V138" s="1021"/>
      <c r="W138" s="454"/>
      <c r="X138" s="454"/>
      <c r="Y138" s="454"/>
      <c r="Z138" s="454"/>
      <c r="AA138" s="454"/>
      <c r="AB138" s="454"/>
      <c r="AC138" s="688"/>
    </row>
    <row r="139" spans="1:29" ht="19.5" customHeight="1" x14ac:dyDescent="0.25">
      <c r="A139" s="656"/>
      <c r="B139" s="692" t="s">
        <v>519</v>
      </c>
      <c r="C139" s="693"/>
      <c r="D139" s="693"/>
      <c r="E139" s="693"/>
      <c r="F139" s="694" t="s">
        <v>520</v>
      </c>
      <c r="G139" s="693"/>
      <c r="H139" s="695" t="str">
        <f>Création!I5</f>
        <v>M</v>
      </c>
      <c r="I139" s="1492"/>
      <c r="J139" s="454"/>
      <c r="K139" s="1497" t="str">
        <f>IF(Création!I13="","",Création!I13)</f>
        <v>Goblin</v>
      </c>
      <c r="L139" s="1498"/>
      <c r="M139" s="1498"/>
      <c r="N139" s="1499"/>
      <c r="O139" s="454"/>
      <c r="P139" s="454"/>
      <c r="Q139" s="454"/>
      <c r="R139" s="454"/>
      <c r="S139" s="1021"/>
      <c r="T139" s="1021"/>
      <c r="U139" s="1021"/>
      <c r="V139" s="1021"/>
      <c r="W139" s="454"/>
      <c r="X139" s="454"/>
      <c r="Y139" s="454"/>
      <c r="Z139" s="454"/>
      <c r="AA139" s="454"/>
      <c r="AB139" s="454"/>
      <c r="AC139" s="688"/>
    </row>
    <row r="140" spans="1:29" ht="19.5" customHeight="1" x14ac:dyDescent="0.25">
      <c r="A140" s="656"/>
      <c r="B140" s="692" t="s">
        <v>521</v>
      </c>
      <c r="C140" s="693"/>
      <c r="D140" s="693"/>
      <c r="E140" s="693"/>
      <c r="F140" s="693"/>
      <c r="G140" s="693"/>
      <c r="H140" s="693"/>
      <c r="I140" s="1492"/>
      <c r="J140" s="454"/>
      <c r="K140" s="1497" t="str">
        <f>IF(Création!I14="","",Création!I14)</f>
        <v>INT 14 = Gnomish</v>
      </c>
      <c r="L140" s="1498"/>
      <c r="M140" s="1498"/>
      <c r="N140" s="1499"/>
      <c r="O140" s="454"/>
      <c r="P140" s="454"/>
      <c r="Q140" s="454"/>
      <c r="R140" s="454"/>
      <c r="S140" s="1021"/>
      <c r="T140" s="1021"/>
      <c r="U140" s="1021"/>
      <c r="V140" s="1021"/>
      <c r="W140" s="454"/>
      <c r="X140" s="454"/>
      <c r="Y140" s="454"/>
      <c r="Z140" s="454"/>
      <c r="AA140" s="454"/>
      <c r="AB140" s="454"/>
      <c r="AC140" s="688"/>
    </row>
    <row r="141" spans="1:29" ht="19.5" customHeight="1" x14ac:dyDescent="0.25">
      <c r="A141" s="656"/>
      <c r="B141" s="692" t="s">
        <v>522</v>
      </c>
      <c r="C141" s="693"/>
      <c r="D141" s="693"/>
      <c r="E141" s="693"/>
      <c r="F141" s="693"/>
      <c r="G141" s="693"/>
      <c r="H141" s="693"/>
      <c r="I141" s="1492"/>
      <c r="J141" s="454"/>
      <c r="K141" s="1497" t="str">
        <f>IF(Création!I15="","",Création!I15)</f>
        <v>INT 14 = Orcish</v>
      </c>
      <c r="L141" s="1498"/>
      <c r="M141" s="1498"/>
      <c r="N141" s="1499"/>
      <c r="O141" s="454"/>
      <c r="P141" s="454"/>
      <c r="Q141" s="454"/>
      <c r="R141" s="454"/>
      <c r="S141" s="1021"/>
      <c r="T141" s="1021"/>
      <c r="U141" s="1021"/>
      <c r="V141" s="1021"/>
      <c r="W141" s="454"/>
      <c r="X141" s="454"/>
      <c r="Y141" s="454"/>
      <c r="Z141" s="454"/>
      <c r="AA141" s="454"/>
      <c r="AB141" s="454"/>
      <c r="AC141" s="688"/>
    </row>
    <row r="142" spans="1:29" ht="19.5" customHeight="1" x14ac:dyDescent="0.25">
      <c r="A142" s="656"/>
      <c r="B142" s="696" t="s">
        <v>523</v>
      </c>
      <c r="C142" s="697"/>
      <c r="D142" s="697"/>
      <c r="E142" s="697"/>
      <c r="F142" s="697"/>
      <c r="G142" s="697"/>
      <c r="H142" s="697"/>
      <c r="I142" s="1493"/>
      <c r="K142" s="1497" t="str">
        <f>IF(Création!I16="","",Création!I16)</f>
        <v/>
      </c>
      <c r="L142" s="1498"/>
      <c r="M142" s="1498"/>
      <c r="N142" s="1499"/>
      <c r="O142" s="454"/>
      <c r="P142" s="454"/>
      <c r="Q142" s="454"/>
      <c r="R142" s="454"/>
      <c r="S142" s="1021"/>
      <c r="T142" s="1021"/>
      <c r="U142" s="1021"/>
      <c r="V142" s="1021"/>
      <c r="W142" s="454"/>
      <c r="X142" s="454"/>
      <c r="Y142" s="454"/>
      <c r="Z142" s="454"/>
      <c r="AA142" s="454"/>
      <c r="AB142" s="454"/>
      <c r="AC142" s="688"/>
    </row>
    <row r="143" spans="1:29" ht="19.5" customHeight="1" x14ac:dyDescent="0.25">
      <c r="A143" s="656"/>
      <c r="B143" s="454"/>
      <c r="C143" s="454"/>
      <c r="D143" s="454"/>
      <c r="E143" s="454"/>
      <c r="F143" s="454"/>
      <c r="G143" s="454"/>
      <c r="H143" s="454"/>
      <c r="I143" s="454"/>
      <c r="J143" s="454"/>
      <c r="K143" s="1500" t="str">
        <f>IF(Création!I17="","",Création!I17)</f>
        <v/>
      </c>
      <c r="L143" s="1501"/>
      <c r="M143" s="1501"/>
      <c r="N143" s="1502"/>
      <c r="O143" s="454"/>
      <c r="P143" s="454"/>
      <c r="Q143" s="454"/>
      <c r="R143" s="454"/>
      <c r="S143" s="1021"/>
      <c r="T143" s="1021"/>
      <c r="U143" s="1021"/>
      <c r="V143" s="1021"/>
      <c r="W143" s="454"/>
      <c r="X143" s="454"/>
      <c r="Y143" s="454"/>
      <c r="Z143" s="454"/>
      <c r="AA143" s="454"/>
      <c r="AB143" s="454"/>
      <c r="AC143" s="637"/>
    </row>
    <row r="144" spans="1:29" ht="18.75" x14ac:dyDescent="0.25">
      <c r="A144" s="656"/>
      <c r="B144" s="657" t="s">
        <v>516</v>
      </c>
      <c r="C144" s="454"/>
      <c r="D144" s="454"/>
      <c r="E144" s="454"/>
      <c r="F144" s="454"/>
      <c r="G144" s="454"/>
      <c r="H144" s="454"/>
      <c r="I144" s="454"/>
      <c r="J144" s="1005"/>
      <c r="K144" s="1005"/>
      <c r="L144" s="1005"/>
      <c r="M144" s="1005"/>
      <c r="N144" s="1005"/>
      <c r="O144" s="1005"/>
      <c r="P144" s="454"/>
      <c r="Q144" s="454"/>
      <c r="R144" s="454"/>
      <c r="S144" s="1021"/>
      <c r="T144" s="1021"/>
      <c r="U144" s="1021"/>
      <c r="V144" s="1021"/>
      <c r="W144" s="454"/>
      <c r="X144" s="454"/>
      <c r="Y144" s="454"/>
      <c r="Z144" s="454"/>
      <c r="AA144" s="454"/>
      <c r="AB144" s="454"/>
      <c r="AC144" s="637"/>
    </row>
    <row r="145" spans="1:29" ht="15" x14ac:dyDescent="0.25">
      <c r="A145" s="656"/>
      <c r="B145" s="1547" t="str">
        <f>'Equipment Combat'!I533</f>
        <v xml:space="preserve">  </v>
      </c>
      <c r="C145" s="1548"/>
      <c r="D145" s="1548"/>
      <c r="E145" s="1548"/>
      <c r="F145" s="1548"/>
      <c r="G145" s="1548"/>
      <c r="H145" s="1548"/>
      <c r="I145" s="1548"/>
      <c r="J145" s="1548"/>
      <c r="K145" s="1548"/>
      <c r="L145" s="1548"/>
      <c r="M145" s="1548"/>
      <c r="N145" s="1548"/>
      <c r="O145" s="1548"/>
      <c r="P145" s="1548"/>
      <c r="Q145" s="1548"/>
      <c r="R145" s="1548"/>
      <c r="S145" s="1548"/>
      <c r="T145" s="1548"/>
      <c r="U145" s="1548"/>
      <c r="V145" s="1548"/>
      <c r="W145" s="1548"/>
      <c r="X145" s="1548"/>
      <c r="Y145" s="1548"/>
      <c r="Z145" s="1548"/>
      <c r="AA145" s="1548"/>
      <c r="AB145" s="1549"/>
      <c r="AC145" s="637"/>
    </row>
    <row r="146" spans="1:29" ht="18.75" x14ac:dyDescent="0.25">
      <c r="A146" s="656"/>
      <c r="B146" s="657" t="s">
        <v>830</v>
      </c>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637"/>
    </row>
    <row r="147" spans="1:29" ht="15" x14ac:dyDescent="0.25">
      <c r="A147" s="656"/>
      <c r="B147" s="1537" t="str">
        <f>Création!I37</f>
        <v>Gartuk est le suprême chef cuisinier de sa tribu, les Couteaux Tranchants. Dans la cuisine, il utilise des techniques non-conventionelles qu'il a inventé lui même comme le flambé au vinaigre d'alcool goblin. Sur le champ de bataille, il utilise ses couteaux de cuisine à la mêlée ou à portée. Il rêve de devenir un grand chef étoilé du guide Pti Chemin (entreprise qui fabrique des roues de charette). Gartuk trouve que les autres goblins font des choix alimentaires répugnants. C'est pour cela qu'il doit voler des ingrédients de qualité aux humains pour lui même.</v>
      </c>
      <c r="C147" s="1538"/>
      <c r="D147" s="1538"/>
      <c r="E147" s="1538"/>
      <c r="F147" s="1538"/>
      <c r="G147" s="1538"/>
      <c r="H147" s="1538"/>
      <c r="I147" s="1538"/>
      <c r="J147" s="1538"/>
      <c r="K147" s="1538"/>
      <c r="L147" s="1538"/>
      <c r="M147" s="1538"/>
      <c r="N147" s="1538"/>
      <c r="O147" s="1538"/>
      <c r="P147" s="1538"/>
      <c r="Q147" s="1538"/>
      <c r="R147" s="1538"/>
      <c r="S147" s="1538"/>
      <c r="T147" s="1538"/>
      <c r="U147" s="1538"/>
      <c r="V147" s="1538"/>
      <c r="W147" s="1538"/>
      <c r="X147" s="1538"/>
      <c r="Y147" s="1538"/>
      <c r="Z147" s="1538"/>
      <c r="AA147" s="1538"/>
      <c r="AB147" s="1539"/>
      <c r="AC147" s="637"/>
    </row>
    <row r="148" spans="1:29" ht="18.75" hidden="1" outlineLevel="1" x14ac:dyDescent="0.25">
      <c r="A148" s="656"/>
      <c r="B148" s="657" t="s">
        <v>548</v>
      </c>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637"/>
    </row>
    <row r="149" spans="1:29" ht="15" hidden="1" outlineLevel="1" x14ac:dyDescent="0.25">
      <c r="A149" s="656"/>
      <c r="B149" s="1410" t="str">
        <f>IF(Minions!F87="","",Minions!F87)</f>
        <v/>
      </c>
      <c r="C149" s="1411"/>
      <c r="D149" s="1411"/>
      <c r="E149" s="1411"/>
      <c r="F149" s="1411"/>
      <c r="G149" s="1411"/>
      <c r="H149" s="1411"/>
      <c r="I149" s="1411"/>
      <c r="J149" s="1411"/>
      <c r="K149" s="1411"/>
      <c r="L149" s="1411"/>
      <c r="M149" s="1411"/>
      <c r="N149" s="1411"/>
      <c r="O149" s="1411"/>
      <c r="P149" s="1411"/>
      <c r="Q149" s="1411"/>
      <c r="R149" s="1411"/>
      <c r="S149" s="1411"/>
      <c r="T149" s="1411"/>
      <c r="U149" s="1411"/>
      <c r="V149" s="1411"/>
      <c r="W149" s="1411"/>
      <c r="X149" s="1411"/>
      <c r="Y149" s="1411"/>
      <c r="Z149" s="1411"/>
      <c r="AA149" s="1411"/>
      <c r="AB149" s="1503"/>
      <c r="AC149" s="637"/>
    </row>
    <row r="150" spans="1:29" ht="15" hidden="1" outlineLevel="1" x14ac:dyDescent="0.25">
      <c r="A150" s="656"/>
      <c r="B150" s="1414" t="str">
        <f>IF(Minions!F88="","",Minions!F88)</f>
        <v/>
      </c>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7"/>
      <c r="AC150" s="637"/>
    </row>
    <row r="151" spans="1:29" ht="15" hidden="1" outlineLevel="1" x14ac:dyDescent="0.25">
      <c r="A151" s="656"/>
      <c r="B151" s="1414" t="str">
        <f>IF(Minions!F89="","",Minions!F89)</f>
        <v/>
      </c>
      <c r="C151" s="1415"/>
      <c r="D151" s="1415"/>
      <c r="E151" s="1415"/>
      <c r="F151" s="1415"/>
      <c r="G151" s="1415"/>
      <c r="H151" s="1415"/>
      <c r="I151" s="1415"/>
      <c r="J151" s="1415"/>
      <c r="K151" s="1415"/>
      <c r="L151" s="1415"/>
      <c r="M151" s="1415"/>
      <c r="N151" s="1415"/>
      <c r="O151" s="1415"/>
      <c r="P151" s="1415"/>
      <c r="Q151" s="1415"/>
      <c r="R151" s="1415"/>
      <c r="S151" s="1415"/>
      <c r="T151" s="1415"/>
      <c r="U151" s="1415"/>
      <c r="V151" s="1415"/>
      <c r="W151" s="1415"/>
      <c r="X151" s="1415"/>
      <c r="Y151" s="1415"/>
      <c r="Z151" s="1415"/>
      <c r="AA151" s="1415"/>
      <c r="AB151" s="1417"/>
      <c r="AC151" s="637"/>
    </row>
    <row r="152" spans="1:29" ht="15" hidden="1" outlineLevel="1" x14ac:dyDescent="0.25">
      <c r="A152" s="656"/>
      <c r="B152" s="1414" t="str">
        <f>IF(Minions!F90="","",Minions!F90)</f>
        <v/>
      </c>
      <c r="C152" s="1415"/>
      <c r="D152" s="1415"/>
      <c r="E152" s="1415"/>
      <c r="F152" s="1415"/>
      <c r="G152" s="1415"/>
      <c r="H152" s="1415"/>
      <c r="I152" s="1415"/>
      <c r="J152" s="1415"/>
      <c r="K152" s="1415"/>
      <c r="L152" s="1415"/>
      <c r="M152" s="1415"/>
      <c r="N152" s="1415"/>
      <c r="O152" s="1415"/>
      <c r="P152" s="1415"/>
      <c r="Q152" s="1415"/>
      <c r="R152" s="1415"/>
      <c r="S152" s="1415"/>
      <c r="T152" s="1415"/>
      <c r="U152" s="1415"/>
      <c r="V152" s="1415"/>
      <c r="W152" s="1415"/>
      <c r="X152" s="1415"/>
      <c r="Y152" s="1415"/>
      <c r="Z152" s="1415"/>
      <c r="AA152" s="1415"/>
      <c r="AB152" s="1417"/>
      <c r="AC152" s="637"/>
    </row>
    <row r="153" spans="1:29" ht="15" hidden="1" outlineLevel="1" x14ac:dyDescent="0.25">
      <c r="A153" s="656"/>
      <c r="B153" s="1418" t="str">
        <f>IF(Minions!F91="","",Minions!F91)</f>
        <v/>
      </c>
      <c r="C153" s="1419"/>
      <c r="D153" s="1419"/>
      <c r="E153" s="1419"/>
      <c r="F153" s="1419"/>
      <c r="G153" s="1419"/>
      <c r="H153" s="1419"/>
      <c r="I153" s="1419"/>
      <c r="J153" s="1419"/>
      <c r="K153" s="1419"/>
      <c r="L153" s="1419"/>
      <c r="M153" s="1419"/>
      <c r="N153" s="1419"/>
      <c r="O153" s="1419"/>
      <c r="P153" s="1419"/>
      <c r="Q153" s="1419"/>
      <c r="R153" s="1419"/>
      <c r="S153" s="1419"/>
      <c r="T153" s="1419"/>
      <c r="U153" s="1419"/>
      <c r="V153" s="1419"/>
      <c r="W153" s="1419"/>
      <c r="X153" s="1419"/>
      <c r="Y153" s="1419"/>
      <c r="Z153" s="1419"/>
      <c r="AA153" s="1419"/>
      <c r="AB153" s="1422"/>
      <c r="AC153" s="637"/>
    </row>
    <row r="154" spans="1:29" ht="15.75" collapsed="1" thickBot="1" x14ac:dyDescent="0.3">
      <c r="A154" s="677"/>
      <c r="B154" s="679"/>
      <c r="C154" s="679"/>
      <c r="D154" s="679"/>
      <c r="E154" s="679"/>
      <c r="F154" s="679"/>
      <c r="G154" s="679"/>
      <c r="H154" s="679"/>
      <c r="I154" s="679"/>
      <c r="J154" s="679"/>
      <c r="K154" s="679"/>
      <c r="L154" s="679"/>
      <c r="M154" s="679"/>
      <c r="N154" s="679"/>
      <c r="O154" s="679"/>
      <c r="P154" s="679"/>
      <c r="Q154" s="679"/>
      <c r="R154" s="679"/>
      <c r="S154" s="679"/>
      <c r="T154" s="679"/>
      <c r="U154" s="679"/>
      <c r="V154" s="679"/>
      <c r="W154" s="679"/>
      <c r="X154" s="679"/>
      <c r="Y154" s="651"/>
      <c r="Z154" s="651"/>
      <c r="AA154" s="651"/>
      <c r="AB154" s="651"/>
      <c r="AC154" s="652"/>
    </row>
    <row r="155" spans="1:29" ht="19.5" customHeight="1" x14ac:dyDescent="0.25">
      <c r="A155" s="460"/>
      <c r="B155" s="460"/>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row>
    <row r="156" spans="1:29" ht="19.5" customHeight="1" x14ac:dyDescent="0.25">
      <c r="A156" s="460"/>
      <c r="B156" s="460"/>
      <c r="C156" s="460"/>
      <c r="D156" s="460"/>
      <c r="E156" s="460"/>
      <c r="F156" s="460"/>
      <c r="G156" s="460"/>
      <c r="H156" s="460"/>
      <c r="I156" s="460"/>
      <c r="J156" s="460"/>
      <c r="K156" s="460"/>
      <c r="L156" s="460"/>
      <c r="M156" s="460"/>
      <c r="N156" s="460"/>
      <c r="O156" s="460"/>
      <c r="P156" s="460"/>
      <c r="Q156" s="460"/>
      <c r="R156" s="460"/>
      <c r="S156" s="460"/>
      <c r="T156" s="460"/>
      <c r="U156" s="460"/>
      <c r="V156" s="460"/>
      <c r="W156" s="460"/>
      <c r="X156" s="460"/>
    </row>
    <row r="157" spans="1:29" ht="19.5" customHeight="1" x14ac:dyDescent="0.25">
      <c r="A157" s="460"/>
      <c r="B157" s="460"/>
      <c r="C157" s="460"/>
      <c r="D157" s="460"/>
      <c r="E157" s="460"/>
      <c r="F157" s="460"/>
      <c r="G157" s="460"/>
      <c r="H157" s="460"/>
      <c r="I157" s="460"/>
      <c r="J157" s="460"/>
      <c r="K157" s="460"/>
      <c r="L157" s="460"/>
      <c r="M157" s="460"/>
      <c r="N157" s="460"/>
      <c r="O157" s="460"/>
      <c r="P157" s="460"/>
      <c r="Q157" s="460"/>
      <c r="R157" s="460"/>
      <c r="S157" s="460"/>
      <c r="T157" s="460"/>
      <c r="U157" s="460"/>
      <c r="V157" s="460"/>
      <c r="W157" s="460"/>
      <c r="X157" s="460"/>
    </row>
    <row r="158" spans="1:29" ht="19.5" customHeight="1" x14ac:dyDescent="0.25">
      <c r="A158" s="460"/>
      <c r="B158" s="460"/>
      <c r="C158" s="460"/>
      <c r="D158" s="460"/>
      <c r="E158" s="460"/>
      <c r="F158" s="460"/>
      <c r="G158" s="460"/>
      <c r="H158" s="460"/>
      <c r="I158" s="460"/>
      <c r="J158" s="460"/>
      <c r="K158" s="460"/>
      <c r="L158" s="460"/>
      <c r="M158" s="460"/>
      <c r="N158" s="460"/>
      <c r="O158" s="460"/>
      <c r="P158" s="460"/>
      <c r="Q158" s="460"/>
      <c r="R158" s="460"/>
      <c r="S158" s="460"/>
      <c r="T158" s="460"/>
      <c r="U158" s="460"/>
      <c r="V158" s="460"/>
      <c r="W158" s="460"/>
      <c r="X158" s="460"/>
    </row>
    <row r="159" spans="1:29" ht="19.5" customHeight="1" x14ac:dyDescent="0.25">
      <c r="A159" s="460"/>
      <c r="B159" s="460"/>
      <c r="C159" s="460"/>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row>
    <row r="160" spans="1:29" ht="19.5" customHeight="1" x14ac:dyDescent="0.25">
      <c r="A160" s="460"/>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row>
  </sheetData>
  <mergeCells count="23">
    <mergeCell ref="S9:U9"/>
    <mergeCell ref="X62:AB62"/>
    <mergeCell ref="B145:AB145"/>
    <mergeCell ref="B147:AB147"/>
    <mergeCell ref="E22:F22"/>
    <mergeCell ref="O22:P22"/>
    <mergeCell ref="E23:F23"/>
    <mergeCell ref="O23:P23"/>
    <mergeCell ref="G24:H24"/>
    <mergeCell ref="R62:W62"/>
    <mergeCell ref="E19:F19"/>
    <mergeCell ref="O19:P19"/>
    <mergeCell ref="E20:F20"/>
    <mergeCell ref="O20:P20"/>
    <mergeCell ref="E21:F21"/>
    <mergeCell ref="O21:P21"/>
    <mergeCell ref="E18:F18"/>
    <mergeCell ref="O18:P18"/>
    <mergeCell ref="I7:J7"/>
    <mergeCell ref="K7:L7"/>
    <mergeCell ref="M7:N7"/>
    <mergeCell ref="J9:K9"/>
    <mergeCell ref="O17:Q17"/>
  </mergeCells>
  <conditionalFormatting sqref="R62:W62">
    <cfRule type="containsText" dxfId="4" priority="3" operator="containsText" text="Cannot">
      <formula>NOT(ISERROR(SEARCH("Cannot",R62)))</formula>
    </cfRule>
    <cfRule type="containsText" dxfId="3" priority="4" operator="containsText" text="Encumbered">
      <formula>NOT(ISERROR(SEARCH("Encumbered",R62)))</formula>
    </cfRule>
    <cfRule type="containsText" dxfId="2" priority="5" operator="containsText" text="Fine">
      <formula>NOT(ISERROR(SEARCH("Fine",R62)))</formula>
    </cfRule>
  </conditionalFormatting>
  <conditionalFormatting sqref="X62">
    <cfRule type="containsText" dxfId="1" priority="1" operator="containsText" text="Overloaded">
      <formula>NOT(ISERROR(SEARCH("Overloaded",X62)))</formula>
    </cfRule>
    <cfRule type="containsText" dxfId="0" priority="2" operator="containsText" text="OK">
      <formula>NOT(ISERROR(SEARCH("OK",X62)))</formula>
    </cfRule>
  </conditionalFormatting>
  <hyperlinks>
    <hyperlink ref="D1" r:id="rId1" location="id=2561941" xr:uid="{5CFA3015-446A-4351-A0FB-DA004BD9BF65}"/>
  </hyperlinks>
  <pageMargins left="0.25" right="0.25" top="0.75" bottom="0.75" header="0.3" footer="0.3"/>
  <pageSetup paperSize="9" scale="69"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66"/>
  <sheetViews>
    <sheetView showGridLines="0" zoomScale="80" zoomScaleNormal="80" workbookViewId="0">
      <pane xSplit="1" ySplit="1" topLeftCell="B2" activePane="bottomRight" state="frozen"/>
      <selection pane="topRight"/>
      <selection pane="bottomLeft"/>
      <selection pane="bottomRight" activeCell="V29" sqref="V29"/>
    </sheetView>
  </sheetViews>
  <sheetFormatPr baseColWidth="10" defaultColWidth="14.42578125" defaultRowHeight="15" customHeight="1" outlineLevelCol="1" x14ac:dyDescent="0.25"/>
  <cols>
    <col min="1" max="1" width="11" customWidth="1"/>
    <col min="2" max="11" width="12.5703125" style="3" customWidth="1"/>
    <col min="12" max="13" width="14.42578125" hidden="1" customWidth="1" outlineLevel="1"/>
    <col min="14" max="14" width="14.42578125" style="460" hidden="1" customWidth="1" outlineLevel="1"/>
    <col min="15" max="18" width="14.42578125" hidden="1" customWidth="1" outlineLevel="1"/>
    <col min="19" max="19" width="14.42578125" style="460" hidden="1" customWidth="1" outlineLevel="1"/>
    <col min="20" max="21" width="14.42578125" hidden="1" customWidth="1" outlineLevel="1"/>
    <col min="22" max="22" width="69.140625" customWidth="1" collapsed="1"/>
    <col min="23" max="23" width="13.28515625" style="460" customWidth="1"/>
    <col min="24" max="24" width="14.42578125" hidden="1" customWidth="1" outlineLevel="1"/>
    <col min="25" max="25" width="14.42578125" collapsed="1"/>
  </cols>
  <sheetData>
    <row r="1" spans="1:28" ht="15.75" thickBot="1" x14ac:dyDescent="0.3">
      <c r="A1" s="382"/>
      <c r="B1" s="382" t="str">
        <f>Création!B2</f>
        <v>Tip</v>
      </c>
      <c r="C1" s="383" t="str">
        <f>Création!C2</f>
        <v>Zabrarallongex</v>
      </c>
      <c r="D1" s="383" t="str">
        <f>Création!D2</f>
        <v>Belica</v>
      </c>
      <c r="E1" s="383" t="str">
        <f>Création!E2</f>
        <v>Eddruk</v>
      </c>
      <c r="F1" s="383" t="str">
        <f>Création!F2</f>
        <v>Thalion</v>
      </c>
      <c r="G1" s="383" t="str">
        <f>Création!G2</f>
        <v>Osharys</v>
      </c>
      <c r="H1" s="383" t="str">
        <f>Création!H2</f>
        <v>Ithiel Theodrek</v>
      </c>
      <c r="I1" s="383" t="str">
        <f>Création!I2</f>
        <v>Gartuk</v>
      </c>
      <c r="J1" s="383" t="str">
        <f>Minions!B1</f>
        <v>Top</v>
      </c>
      <c r="K1" s="384" t="str">
        <f>Minions!C1</f>
        <v>Gravlax</v>
      </c>
      <c r="L1" s="1028" t="str">
        <f>B1</f>
        <v>Tip</v>
      </c>
      <c r="M1" s="1029" t="s">
        <v>581</v>
      </c>
      <c r="N1" s="1029" t="str">
        <f>D1</f>
        <v>Belica</v>
      </c>
      <c r="O1" s="1029" t="str">
        <f>E1</f>
        <v>Eddruk</v>
      </c>
      <c r="P1" s="1029" t="str">
        <f>F1</f>
        <v>Thalion</v>
      </c>
      <c r="Q1" s="1029" t="str">
        <f>G1</f>
        <v>Osharys</v>
      </c>
      <c r="R1" s="1029" t="s">
        <v>582</v>
      </c>
      <c r="S1" s="1029" t="s">
        <v>840</v>
      </c>
      <c r="T1" s="1029" t="str">
        <f>J1</f>
        <v>Top</v>
      </c>
      <c r="U1" s="1030" t="str">
        <f>K1</f>
        <v>Gravlax</v>
      </c>
      <c r="V1" s="130"/>
    </row>
    <row r="2" spans="1:28" ht="15.75" thickBot="1" x14ac:dyDescent="0.3">
      <c r="A2" s="609" t="s">
        <v>0</v>
      </c>
      <c r="B2" s="385"/>
      <c r="C2" s="386"/>
      <c r="D2" s="386"/>
      <c r="E2" s="386"/>
      <c r="F2" s="386"/>
      <c r="G2" s="386"/>
      <c r="H2" s="386"/>
      <c r="I2" s="386"/>
      <c r="J2" s="386"/>
      <c r="K2" s="387"/>
      <c r="L2" s="1214" t="s">
        <v>922</v>
      </c>
      <c r="M2" s="1215" t="s">
        <v>922</v>
      </c>
      <c r="N2" s="1215" t="s">
        <v>922</v>
      </c>
      <c r="O2" s="1215" t="s">
        <v>922</v>
      </c>
      <c r="P2" s="1215" t="s">
        <v>922</v>
      </c>
      <c r="Q2" s="1215" t="s">
        <v>922</v>
      </c>
      <c r="R2" s="1215" t="s">
        <v>922</v>
      </c>
      <c r="S2" s="1215" t="s">
        <v>922</v>
      </c>
      <c r="T2" s="1215" t="s">
        <v>922</v>
      </c>
      <c r="U2" s="1216" t="s">
        <v>922</v>
      </c>
      <c r="V2" s="1531" t="str">
        <f>L3&amp;M3&amp;N3&amp;O3&amp;P3&amp;Q3&amp;R3&amp;S3&amp;T3&amp;U3</f>
        <v>Tip: 46/46[1]  |  Zabra: 41/41[2]  |  Belica: 58/58[1]  |  Eddruk: 85/85[1]  |  Thalion: 46/46[1]  |  Osharys: 51/51[1]  |  Ithiel: 78/78[1]  |  Gartuk: 61/61[1]  |  Top: 51/51  |  Gravlax: 25/25</v>
      </c>
      <c r="W2" s="271" t="s">
        <v>613</v>
      </c>
      <c r="X2" s="271" t="s">
        <v>583</v>
      </c>
    </row>
    <row r="3" spans="1:28" x14ac:dyDescent="0.25">
      <c r="A3" s="610" t="s">
        <v>1</v>
      </c>
      <c r="B3" s="580">
        <f>'Dés de vie'!B16+B2*'Dés de vie'!B13</f>
        <v>46</v>
      </c>
      <c r="C3" s="581">
        <f>'Dés de vie'!C16+C2*'Dés de vie'!C13</f>
        <v>41</v>
      </c>
      <c r="D3" s="581">
        <f>'Dés de vie'!D16+D2*'Dés de vie'!D13</f>
        <v>58</v>
      </c>
      <c r="E3" s="581">
        <f>'Dés de vie'!E16+E2*'Dés de vie'!E13</f>
        <v>85</v>
      </c>
      <c r="F3" s="581">
        <f>'Dés de vie'!F16+F2*'Dés de vie'!F13</f>
        <v>46</v>
      </c>
      <c r="G3" s="581">
        <f>'Dés de vie'!G16+G2*'Dés de vie'!G13</f>
        <v>51</v>
      </c>
      <c r="H3" s="581">
        <f>'Dés de vie'!H16+H2*'Dés de vie'!H13</f>
        <v>78</v>
      </c>
      <c r="I3" s="581">
        <f>'Dés de vie'!I16+I2*'Dés de vie'!I13</f>
        <v>61</v>
      </c>
      <c r="J3" s="581">
        <f>'Dés de vie'!J16+J2*'Dés de vie'!J13</f>
        <v>51</v>
      </c>
      <c r="K3" s="582">
        <f>'Dés de vie'!K16+K2*'Dés de vie'!K13</f>
        <v>25</v>
      </c>
      <c r="L3" s="1025" t="str">
        <f>IF(L2="Présent",L4&amp;L6&amp;L7&amp;L8&amp;L9&amp;L11&amp;L13&amp;"  |  ","")</f>
        <v xml:space="preserve">Tip: 46/46[1]  |  </v>
      </c>
      <c r="M3" s="1026" t="str">
        <f>IF(M2="Présent",M4&amp;M6&amp;M7&amp;M8&amp;M9&amp;M11&amp;M13&amp;"  |  ","")</f>
        <v xml:space="preserve">Zabra: 41/41[2]  |  </v>
      </c>
      <c r="N3" s="1026" t="str">
        <f t="shared" ref="N3:S3" si="0">IF(N2="Présent",N4&amp;N6&amp;N7&amp;N8&amp;N9&amp;N11&amp;N13&amp;"  |  ","")</f>
        <v xml:space="preserve">Belica: 58/58[1]  |  </v>
      </c>
      <c r="O3" s="1026" t="str">
        <f t="shared" si="0"/>
        <v xml:space="preserve">Eddruk: 85/85[1]  |  </v>
      </c>
      <c r="P3" s="1026" t="str">
        <f t="shared" si="0"/>
        <v xml:space="preserve">Thalion: 46/46[1]  |  </v>
      </c>
      <c r="Q3" s="1026" t="str">
        <f t="shared" si="0"/>
        <v xml:space="preserve">Osharys: 51/51[1]  |  </v>
      </c>
      <c r="R3" s="1026" t="str">
        <f t="shared" si="0"/>
        <v xml:space="preserve">Ithiel: 78/78[1]  |  </v>
      </c>
      <c r="S3" s="1026" t="str">
        <f t="shared" si="0"/>
        <v xml:space="preserve">Gartuk: 61/61[1]  |  </v>
      </c>
      <c r="T3" s="1026" t="str">
        <f t="shared" ref="T3" si="1">IF(T2="Présent",T4&amp;T6&amp;T7&amp;T8&amp;T9&amp;T11&amp;T13&amp;"  |  ","")</f>
        <v xml:space="preserve">Top: 51/51  |  </v>
      </c>
      <c r="U3" s="1027" t="str">
        <f>IF(U2="Présent",U4&amp;U6&amp;U7&amp;U8&amp;U9&amp;U11&amp;U13,"")</f>
        <v>Gravlax: 25/25</v>
      </c>
      <c r="V3" s="1532"/>
      <c r="W3" s="271" t="s">
        <v>614</v>
      </c>
      <c r="X3" s="271" t="s">
        <v>584</v>
      </c>
    </row>
    <row r="4" spans="1:28" x14ac:dyDescent="0.25">
      <c r="A4" s="610" t="s">
        <v>2</v>
      </c>
      <c r="B4" s="583">
        <f>B3+SUM(B14:B95)</f>
        <v>46</v>
      </c>
      <c r="C4" s="584">
        <f>C3+SUM(C14:C95)</f>
        <v>41</v>
      </c>
      <c r="D4" s="584">
        <f t="shared" ref="D4:J4" si="2">D3+SUM(D14:D95)</f>
        <v>58</v>
      </c>
      <c r="E4" s="584">
        <f t="shared" si="2"/>
        <v>85</v>
      </c>
      <c r="F4" s="584">
        <f t="shared" si="2"/>
        <v>46</v>
      </c>
      <c r="G4" s="584">
        <f t="shared" si="2"/>
        <v>51</v>
      </c>
      <c r="H4" s="584">
        <f t="shared" si="2"/>
        <v>78</v>
      </c>
      <c r="I4" s="584">
        <f t="shared" si="2"/>
        <v>61</v>
      </c>
      <c r="J4" s="584">
        <f t="shared" si="2"/>
        <v>51</v>
      </c>
      <c r="K4" s="585">
        <f>K3+SUM(K14:K95)</f>
        <v>25</v>
      </c>
      <c r="L4" s="597" t="str">
        <f t="shared" ref="L4:U4" si="3">L$1&amp;": "&amp;B4&amp;L5&amp;"/"&amp;B3</f>
        <v>Tip: 46/46</v>
      </c>
      <c r="M4" s="4" t="str">
        <f t="shared" si="3"/>
        <v>Zabra: 41/41</v>
      </c>
      <c r="N4" s="4" t="str">
        <f t="shared" si="3"/>
        <v>Belica: 58/58</v>
      </c>
      <c r="O4" s="4" t="str">
        <f t="shared" si="3"/>
        <v>Eddruk: 85/85</v>
      </c>
      <c r="P4" s="4" t="str">
        <f t="shared" si="3"/>
        <v>Thalion: 46/46</v>
      </c>
      <c r="Q4" s="4" t="str">
        <f t="shared" si="3"/>
        <v>Osharys: 51/51</v>
      </c>
      <c r="R4" s="4" t="str">
        <f t="shared" si="3"/>
        <v>Ithiel: 78/78</v>
      </c>
      <c r="S4" s="4" t="str">
        <f t="shared" si="3"/>
        <v>Gartuk: 61/61</v>
      </c>
      <c r="T4" s="4" t="str">
        <f t="shared" si="3"/>
        <v>Top: 51/51</v>
      </c>
      <c r="U4" s="598" t="str">
        <f t="shared" si="3"/>
        <v>Gravlax: 25/25</v>
      </c>
      <c r="V4" s="1532"/>
      <c r="W4" s="271" t="s">
        <v>615</v>
      </c>
      <c r="X4" s="271" t="s">
        <v>585</v>
      </c>
    </row>
    <row r="5" spans="1:28" ht="15.75" thickBot="1" x14ac:dyDescent="0.3">
      <c r="A5" s="611" t="s">
        <v>4</v>
      </c>
      <c r="B5" s="586"/>
      <c r="C5" s="587"/>
      <c r="D5" s="587"/>
      <c r="E5" s="587"/>
      <c r="F5" s="587"/>
      <c r="G5" s="587"/>
      <c r="H5" s="587"/>
      <c r="I5" s="587"/>
      <c r="J5" s="587"/>
      <c r="K5" s="588"/>
      <c r="L5" s="599" t="str">
        <f>IF(B5="","","+"&amp;B5&amp;" tmp")</f>
        <v/>
      </c>
      <c r="M5" s="600" t="str">
        <f>IF(C5="","","+"&amp;C5&amp;" tmp")</f>
        <v/>
      </c>
      <c r="N5" s="600" t="str">
        <f t="shared" ref="N5:S5" si="4">IF(D5="","","+"&amp;D5&amp;" tmp")</f>
        <v/>
      </c>
      <c r="O5" s="600" t="str">
        <f t="shared" si="4"/>
        <v/>
      </c>
      <c r="P5" s="600" t="str">
        <f t="shared" si="4"/>
        <v/>
      </c>
      <c r="Q5" s="600" t="str">
        <f t="shared" si="4"/>
        <v/>
      </c>
      <c r="R5" s="600" t="str">
        <f t="shared" si="4"/>
        <v/>
      </c>
      <c r="S5" s="600" t="str">
        <f t="shared" si="4"/>
        <v/>
      </c>
      <c r="T5" s="600" t="str">
        <f>IF(J5="","","+"&amp;J5&amp;" tmp")</f>
        <v/>
      </c>
      <c r="U5" s="601" t="str">
        <f>IF(K5="","","+"&amp;K5&amp;" tmp")</f>
        <v/>
      </c>
      <c r="V5" s="1532"/>
      <c r="W5" s="271" t="s">
        <v>616</v>
      </c>
      <c r="X5" s="271" t="s">
        <v>586</v>
      </c>
      <c r="Y5" s="1"/>
      <c r="Z5" s="1"/>
      <c r="AA5" s="1"/>
      <c r="AB5" s="1"/>
    </row>
    <row r="6" spans="1:28" s="460" customFormat="1" ht="15.75" thickBot="1" x14ac:dyDescent="0.3">
      <c r="A6" s="611" t="s">
        <v>921</v>
      </c>
      <c r="B6" s="1208">
        <v>1</v>
      </c>
      <c r="C6" s="1209">
        <v>2</v>
      </c>
      <c r="D6" s="1209">
        <v>1</v>
      </c>
      <c r="E6" s="1209">
        <v>1</v>
      </c>
      <c r="F6" s="1209">
        <v>1</v>
      </c>
      <c r="G6" s="1209">
        <v>1</v>
      </c>
      <c r="H6" s="1209">
        <v>1</v>
      </c>
      <c r="I6" s="1209">
        <v>1</v>
      </c>
      <c r="J6" s="1210"/>
      <c r="K6" s="1211"/>
      <c r="L6" s="602" t="str">
        <f>IF(B6="","","["&amp;B6&amp;"]")</f>
        <v>[1]</v>
      </c>
      <c r="M6" s="603" t="str">
        <f t="shared" ref="M6:U6" si="5">IF(C6="","","["&amp;C6&amp;"]")</f>
        <v>[2]</v>
      </c>
      <c r="N6" s="603" t="str">
        <f t="shared" si="5"/>
        <v>[1]</v>
      </c>
      <c r="O6" s="603" t="str">
        <f t="shared" si="5"/>
        <v>[1]</v>
      </c>
      <c r="P6" s="603" t="str">
        <f t="shared" si="5"/>
        <v>[1]</v>
      </c>
      <c r="Q6" s="603" t="str">
        <f t="shared" si="5"/>
        <v>[1]</v>
      </c>
      <c r="R6" s="603" t="str">
        <f t="shared" si="5"/>
        <v>[1]</v>
      </c>
      <c r="S6" s="603" t="str">
        <f t="shared" si="5"/>
        <v>[1]</v>
      </c>
      <c r="T6" s="1212" t="str">
        <f t="shared" si="5"/>
        <v/>
      </c>
      <c r="U6" s="1213" t="str">
        <f t="shared" si="5"/>
        <v/>
      </c>
      <c r="V6" s="1532"/>
      <c r="W6" s="271" t="s">
        <v>617</v>
      </c>
      <c r="X6" s="271" t="s">
        <v>587</v>
      </c>
      <c r="Y6" s="1"/>
      <c r="Z6" s="1"/>
      <c r="AA6" s="1"/>
      <c r="AB6" s="1"/>
    </row>
    <row r="7" spans="1:28" x14ac:dyDescent="0.25">
      <c r="A7" s="611" t="s">
        <v>461</v>
      </c>
      <c r="B7" s="589"/>
      <c r="C7" s="590"/>
      <c r="D7" s="590"/>
      <c r="E7" s="590"/>
      <c r="F7" s="590"/>
      <c r="G7" s="590"/>
      <c r="H7" s="590"/>
      <c r="I7" s="590"/>
      <c r="J7" s="590"/>
      <c r="K7" s="591"/>
      <c r="L7" s="602" t="str">
        <f>IF(B7="",""," (Dying "&amp;B7&amp;")")</f>
        <v/>
      </c>
      <c r="M7" s="603" t="str">
        <f>IF(C7="",""," (Dying "&amp;C7&amp;")")</f>
        <v/>
      </c>
      <c r="N7" s="603"/>
      <c r="O7" s="603" t="str">
        <f>IF(E7="",""," (Dying "&amp;E7&amp;")")</f>
        <v/>
      </c>
      <c r="P7" s="603" t="str">
        <f>IF(F7="",""," (Dying "&amp;F7&amp;")")</f>
        <v/>
      </c>
      <c r="Q7" s="603" t="str">
        <f>IF(G7="",""," (Dying "&amp;G7&amp;")")</f>
        <v/>
      </c>
      <c r="R7" s="603" t="str">
        <f>IF(H7="",""," (Dying "&amp;H7&amp;")")</f>
        <v/>
      </c>
      <c r="S7" s="603" t="str">
        <f t="shared" ref="S7:U7" si="6">IF(I7="",""," (Dying "&amp;I7&amp;")")</f>
        <v/>
      </c>
      <c r="T7" s="603" t="str">
        <f t="shared" si="6"/>
        <v/>
      </c>
      <c r="U7" s="604" t="str">
        <f t="shared" si="6"/>
        <v/>
      </c>
      <c r="V7" s="1532"/>
      <c r="W7" s="271" t="s">
        <v>618</v>
      </c>
      <c r="X7" s="271" t="s">
        <v>588</v>
      </c>
      <c r="Y7" s="1"/>
      <c r="Z7" s="1"/>
      <c r="AA7" s="1"/>
      <c r="AB7" s="1"/>
    </row>
    <row r="8" spans="1:28" s="344" customFormat="1" ht="15.75" thickBot="1" x14ac:dyDescent="0.3">
      <c r="A8" s="611" t="s">
        <v>462</v>
      </c>
      <c r="B8" s="589"/>
      <c r="C8" s="590"/>
      <c r="D8" s="590"/>
      <c r="E8" s="590"/>
      <c r="F8" s="590"/>
      <c r="G8" s="590"/>
      <c r="H8" s="590"/>
      <c r="I8" s="590"/>
      <c r="J8" s="590"/>
      <c r="K8" s="591"/>
      <c r="L8" s="602" t="str">
        <f>IF(B8="",""," (Wounded "&amp;B8&amp;")")</f>
        <v/>
      </c>
      <c r="M8" s="603" t="str">
        <f>IF(C8="",""," (Wounded "&amp;C8&amp;")")</f>
        <v/>
      </c>
      <c r="N8" s="603"/>
      <c r="O8" s="603" t="str">
        <f>IF(E8="",""," (Wounded "&amp;E8&amp;")")</f>
        <v/>
      </c>
      <c r="P8" s="603" t="str">
        <f>IF(F8="",""," (Wounded "&amp;F8&amp;")")</f>
        <v/>
      </c>
      <c r="Q8" s="603" t="str">
        <f>IF(G8="",""," (Wounded "&amp;G8&amp;")")</f>
        <v/>
      </c>
      <c r="R8" s="603" t="str">
        <f>IF(H8="",""," (Wounded "&amp;H8&amp;")")</f>
        <v/>
      </c>
      <c r="S8" s="603" t="str">
        <f t="shared" ref="S8:U8" si="7">IF(I8="",""," (Wounded "&amp;I8&amp;")")</f>
        <v/>
      </c>
      <c r="T8" s="603" t="str">
        <f t="shared" si="7"/>
        <v/>
      </c>
      <c r="U8" s="604" t="str">
        <f t="shared" si="7"/>
        <v/>
      </c>
      <c r="V8" s="1532"/>
      <c r="W8" s="271" t="s">
        <v>619</v>
      </c>
      <c r="X8" s="271" t="s">
        <v>589</v>
      </c>
      <c r="Y8" s="1"/>
      <c r="Z8" s="1"/>
      <c r="AA8" s="1"/>
      <c r="AB8" s="1"/>
    </row>
    <row r="9" spans="1:28" s="460" customFormat="1" x14ac:dyDescent="0.25">
      <c r="A9" s="613" t="s">
        <v>642</v>
      </c>
      <c r="B9" s="614"/>
      <c r="C9" s="615"/>
      <c r="D9" s="615"/>
      <c r="E9" s="615"/>
      <c r="F9" s="615"/>
      <c r="G9" s="615"/>
      <c r="H9" s="615"/>
      <c r="I9" s="615"/>
      <c r="J9" s="616"/>
      <c r="K9" s="617"/>
      <c r="L9" s="599" t="str">
        <f>IF(B9="",""," + "&amp;B9&amp;" "&amp;B10)</f>
        <v/>
      </c>
      <c r="M9" s="600" t="str">
        <f>IF(C9="",""," + "&amp;C9&amp;" "&amp;C10)</f>
        <v/>
      </c>
      <c r="N9" s="600"/>
      <c r="O9" s="600" t="str">
        <f>IF(E9="",""," + "&amp;E9&amp;" "&amp;E10)</f>
        <v/>
      </c>
      <c r="P9" s="600" t="str">
        <f>IF(F9="",""," + "&amp;F9&amp;" "&amp;F10)</f>
        <v/>
      </c>
      <c r="Q9" s="600" t="str">
        <f>IF(G9="",""," + "&amp;G9&amp;" "&amp;G10)</f>
        <v/>
      </c>
      <c r="R9" s="600" t="str">
        <f>IF(H9="",""," + "&amp;H9&amp;" "&amp;H10)</f>
        <v/>
      </c>
      <c r="S9" s="600" t="str">
        <f t="shared" ref="S9:U9" si="8">IF(I9="",""," + "&amp;I9&amp;" "&amp;I10)</f>
        <v/>
      </c>
      <c r="T9" s="600" t="str">
        <f t="shared" si="8"/>
        <v/>
      </c>
      <c r="U9" s="601" t="str">
        <f t="shared" si="8"/>
        <v/>
      </c>
      <c r="V9" s="1532"/>
      <c r="W9" s="271" t="s">
        <v>620</v>
      </c>
      <c r="X9" s="271" t="s">
        <v>590</v>
      </c>
      <c r="Y9" s="1"/>
      <c r="Z9" s="1"/>
      <c r="AA9" s="1"/>
      <c r="AB9" s="1"/>
    </row>
    <row r="10" spans="1:28" s="460" customFormat="1" ht="15.75" thickBot="1" x14ac:dyDescent="0.3">
      <c r="A10" s="611"/>
      <c r="B10" s="618"/>
      <c r="C10" s="619"/>
      <c r="D10" s="619"/>
      <c r="E10" s="620"/>
      <c r="F10" s="619"/>
      <c r="G10" s="620"/>
      <c r="H10" s="620"/>
      <c r="I10" s="620"/>
      <c r="J10" s="620"/>
      <c r="K10" s="621"/>
      <c r="L10" s="602"/>
      <c r="M10" s="603"/>
      <c r="N10" s="603"/>
      <c r="O10" s="603"/>
      <c r="P10" s="603"/>
      <c r="Q10" s="603"/>
      <c r="R10" s="603"/>
      <c r="S10" s="603"/>
      <c r="T10" s="603"/>
      <c r="U10" s="604"/>
      <c r="V10" s="1532"/>
      <c r="W10" s="271" t="s">
        <v>621</v>
      </c>
      <c r="X10" s="271" t="s">
        <v>591</v>
      </c>
      <c r="Y10" s="1"/>
      <c r="Z10" s="1"/>
      <c r="AA10" s="1"/>
      <c r="AB10" s="1"/>
    </row>
    <row r="11" spans="1:28" s="344" customFormat="1" x14ac:dyDescent="0.25">
      <c r="A11" s="613" t="s">
        <v>642</v>
      </c>
      <c r="B11" s="614"/>
      <c r="C11" s="615"/>
      <c r="D11" s="615"/>
      <c r="E11" s="616"/>
      <c r="F11" s="615"/>
      <c r="G11" s="615"/>
      <c r="H11" s="616"/>
      <c r="I11" s="616"/>
      <c r="J11" s="616"/>
      <c r="K11" s="617"/>
      <c r="L11" s="599" t="str">
        <f>IF(B11="",""," + "&amp;B11&amp;" "&amp;B12)</f>
        <v/>
      </c>
      <c r="M11" s="600" t="str">
        <f>IF(C11="",""," + "&amp;C11&amp;" "&amp;C12)</f>
        <v/>
      </c>
      <c r="N11" s="600"/>
      <c r="O11" s="600" t="str">
        <f>IF(E11="",""," + "&amp;E11&amp;" "&amp;E12)</f>
        <v/>
      </c>
      <c r="P11" s="600" t="str">
        <f>IF(F11="",""," + "&amp;F11&amp;" "&amp;F12)</f>
        <v/>
      </c>
      <c r="Q11" s="600" t="str">
        <f>IF(G11="",""," + "&amp;G11&amp;" "&amp;G12)</f>
        <v/>
      </c>
      <c r="R11" s="600" t="str">
        <f>IF(H11="",""," + "&amp;H11&amp;" "&amp;H12)</f>
        <v/>
      </c>
      <c r="S11" s="600" t="str">
        <f t="shared" ref="S11:U11" si="9">IF(I11="",""," + "&amp;I11&amp;" "&amp;I12)</f>
        <v/>
      </c>
      <c r="T11" s="600" t="str">
        <f t="shared" si="9"/>
        <v/>
      </c>
      <c r="U11" s="601" t="str">
        <f t="shared" si="9"/>
        <v/>
      </c>
      <c r="V11" s="1532"/>
      <c r="W11" s="271" t="s">
        <v>510</v>
      </c>
      <c r="X11" s="271" t="s">
        <v>592</v>
      </c>
      <c r="Y11" s="1"/>
      <c r="Z11" s="1"/>
      <c r="AA11" s="1"/>
      <c r="AB11" s="1"/>
    </row>
    <row r="12" spans="1:28" s="460" customFormat="1" ht="15.75" thickBot="1" x14ac:dyDescent="0.3">
      <c r="A12" s="611"/>
      <c r="B12" s="618"/>
      <c r="C12" s="619"/>
      <c r="D12" s="619"/>
      <c r="E12" s="620"/>
      <c r="F12" s="619"/>
      <c r="G12" s="620"/>
      <c r="H12" s="620"/>
      <c r="I12" s="620"/>
      <c r="J12" s="620"/>
      <c r="K12" s="621"/>
      <c r="L12" s="599"/>
      <c r="M12" s="600"/>
      <c r="N12" s="600"/>
      <c r="O12" s="600"/>
      <c r="P12" s="600"/>
      <c r="Q12" s="600"/>
      <c r="R12" s="600"/>
      <c r="S12" s="600"/>
      <c r="T12" s="600"/>
      <c r="U12" s="601"/>
      <c r="V12" s="1532"/>
      <c r="W12" s="271" t="s">
        <v>622</v>
      </c>
      <c r="X12" s="271" t="s">
        <v>593</v>
      </c>
      <c r="Y12" s="1"/>
      <c r="Z12" s="1"/>
      <c r="AA12" s="1"/>
      <c r="AB12" s="1"/>
    </row>
    <row r="13" spans="1:28" s="130" customFormat="1" ht="15.75" thickBot="1" x14ac:dyDescent="0.3">
      <c r="A13" s="612" t="s">
        <v>3</v>
      </c>
      <c r="B13" s="592"/>
      <c r="C13" s="593"/>
      <c r="D13" s="593"/>
      <c r="E13" s="593"/>
      <c r="F13" s="593"/>
      <c r="G13" s="593"/>
      <c r="H13" s="593"/>
      <c r="I13" s="593"/>
      <c r="J13" s="593"/>
      <c r="K13" s="594"/>
      <c r="L13" s="605" t="str">
        <f>IF(B13="",""," + "&amp;B13)</f>
        <v/>
      </c>
      <c r="M13" s="606" t="str">
        <f>IF(C13="",""," + "&amp;C13)</f>
        <v/>
      </c>
      <c r="N13" s="606"/>
      <c r="O13" s="606" t="str">
        <f>IF(E13="",""," + "&amp;E13)</f>
        <v/>
      </c>
      <c r="P13" s="606" t="str">
        <f>IF(F13="",""," + "&amp;F13)</f>
        <v/>
      </c>
      <c r="Q13" s="606" t="str">
        <f>IF(G13="",""," + "&amp;G13)</f>
        <v/>
      </c>
      <c r="R13" s="606" t="str">
        <f>IF(H13="",""," + "&amp;H13)</f>
        <v/>
      </c>
      <c r="S13" s="606" t="str">
        <f t="shared" ref="S13:U13" si="10">IF(I13="",""," + "&amp;I13)</f>
        <v/>
      </c>
      <c r="T13" s="606" t="str">
        <f t="shared" si="10"/>
        <v/>
      </c>
      <c r="U13" s="607" t="str">
        <f t="shared" si="10"/>
        <v/>
      </c>
      <c r="V13" s="1533"/>
      <c r="W13" s="271" t="s">
        <v>623</v>
      </c>
      <c r="X13" s="271" t="s">
        <v>594</v>
      </c>
      <c r="Y13" s="608"/>
      <c r="Z13" s="608"/>
      <c r="AA13" s="608"/>
      <c r="AB13" s="608"/>
    </row>
    <row r="14" spans="1:28" s="130" customFormat="1" x14ac:dyDescent="0.25">
      <c r="A14" s="2" t="s">
        <v>5</v>
      </c>
      <c r="B14" s="1266"/>
      <c r="C14" s="1266"/>
      <c r="D14" s="1266"/>
      <c r="E14" s="1266"/>
      <c r="F14" s="1267"/>
      <c r="G14" s="1267"/>
      <c r="H14" s="1266"/>
      <c r="I14" s="1266"/>
      <c r="J14" s="1266"/>
      <c r="K14" s="1266"/>
      <c r="L14" s="595"/>
      <c r="M14" s="595"/>
      <c r="N14" s="595"/>
      <c r="O14" s="595"/>
      <c r="P14" s="595"/>
      <c r="Q14" s="595"/>
      <c r="R14" s="595"/>
      <c r="S14" s="595"/>
      <c r="T14" s="595"/>
      <c r="U14" s="595"/>
      <c r="V14" s="595"/>
      <c r="W14" s="271" t="s">
        <v>624</v>
      </c>
      <c r="X14" s="271" t="s">
        <v>595</v>
      </c>
      <c r="Y14" s="595"/>
      <c r="Z14" s="595"/>
      <c r="AA14" s="595"/>
      <c r="AB14" s="595"/>
    </row>
    <row r="15" spans="1:28" ht="15" customHeight="1" x14ac:dyDescent="0.25">
      <c r="A15" s="1"/>
      <c r="B15" s="1267"/>
      <c r="C15" s="1267"/>
      <c r="D15" s="1267"/>
      <c r="E15" s="1217"/>
      <c r="F15" s="1267"/>
      <c r="G15" s="1267"/>
      <c r="H15" s="1267"/>
      <c r="I15" s="1267"/>
      <c r="J15" s="1267"/>
      <c r="K15" s="1267"/>
      <c r="L15" s="595"/>
      <c r="M15" s="595"/>
      <c r="N15" s="595"/>
      <c r="O15" s="595"/>
      <c r="P15" s="595"/>
      <c r="Q15" s="595"/>
      <c r="R15" s="595"/>
      <c r="S15" s="595"/>
      <c r="T15" s="595"/>
      <c r="U15" s="595"/>
      <c r="W15" s="271" t="s">
        <v>625</v>
      </c>
      <c r="X15" s="271" t="s">
        <v>596</v>
      </c>
      <c r="Y15" s="5"/>
      <c r="Z15" s="5"/>
      <c r="AA15" s="5"/>
      <c r="AB15" s="5"/>
    </row>
    <row r="16" spans="1:28" x14ac:dyDescent="0.25">
      <c r="A16" s="1"/>
      <c r="B16" s="1217"/>
      <c r="C16" s="1217"/>
      <c r="D16" s="1217"/>
      <c r="E16" s="1217"/>
      <c r="F16" s="1267"/>
      <c r="G16" s="1217"/>
      <c r="H16" s="1267"/>
      <c r="I16" s="1267"/>
      <c r="J16" s="1267"/>
      <c r="K16" s="1267"/>
      <c r="W16" s="271" t="s">
        <v>626</v>
      </c>
      <c r="X16" s="271" t="s">
        <v>597</v>
      </c>
    </row>
    <row r="17" spans="1:24" ht="15.75" customHeight="1" x14ac:dyDescent="0.25">
      <c r="A17" s="1"/>
      <c r="B17" s="1217"/>
      <c r="C17" s="1267"/>
      <c r="D17" s="1267"/>
      <c r="E17" s="1217"/>
      <c r="F17" s="1217"/>
      <c r="G17" s="1217"/>
      <c r="H17" s="1217"/>
      <c r="I17" s="1217"/>
      <c r="J17" s="1217"/>
      <c r="K17" s="1217"/>
      <c r="V17" s="460"/>
      <c r="W17" s="271" t="s">
        <v>627</v>
      </c>
      <c r="X17" s="271" t="s">
        <v>598</v>
      </c>
    </row>
    <row r="18" spans="1:24" ht="15.75" customHeight="1" x14ac:dyDescent="0.25">
      <c r="A18" s="1"/>
      <c r="B18" s="1217"/>
      <c r="C18" s="1267"/>
      <c r="D18" s="1267"/>
      <c r="E18" s="1217"/>
      <c r="F18" s="1267"/>
      <c r="G18" s="1217"/>
      <c r="H18" s="1267"/>
      <c r="I18" s="1267"/>
      <c r="J18" s="1267"/>
      <c r="K18" s="1267"/>
      <c r="V18" s="460"/>
      <c r="W18" s="271" t="s">
        <v>628</v>
      </c>
      <c r="X18" s="271" t="s">
        <v>599</v>
      </c>
    </row>
    <row r="19" spans="1:24" ht="15.75" customHeight="1" x14ac:dyDescent="0.25">
      <c r="A19" s="1"/>
      <c r="B19" s="1217"/>
      <c r="C19" s="1217"/>
      <c r="D19" s="1267"/>
      <c r="E19" s="1217"/>
      <c r="F19" s="1267"/>
      <c r="G19" s="1217"/>
      <c r="H19" s="1267"/>
      <c r="I19" s="1267"/>
      <c r="J19" s="1267"/>
      <c r="K19" s="1217"/>
      <c r="V19" s="460"/>
      <c r="W19" s="271" t="s">
        <v>629</v>
      </c>
      <c r="X19" s="271" t="s">
        <v>600</v>
      </c>
    </row>
    <row r="20" spans="1:24" ht="15.75" customHeight="1" x14ac:dyDescent="0.25">
      <c r="A20" s="1"/>
      <c r="B20" s="1217"/>
      <c r="C20" s="1217"/>
      <c r="D20" s="1217"/>
      <c r="E20" s="1217"/>
      <c r="F20" s="1217"/>
      <c r="G20" s="1217"/>
      <c r="H20" s="1267"/>
      <c r="I20" s="1267"/>
      <c r="J20" s="1217"/>
      <c r="K20" s="1217"/>
      <c r="V20" s="460"/>
      <c r="W20" s="271" t="s">
        <v>630</v>
      </c>
      <c r="X20" s="271" t="s">
        <v>601</v>
      </c>
    </row>
    <row r="21" spans="1:24" ht="15.75" customHeight="1" x14ac:dyDescent="0.25">
      <c r="A21" s="1"/>
      <c r="B21" s="1217"/>
      <c r="C21" s="1217"/>
      <c r="D21" s="1217"/>
      <c r="E21" s="1217"/>
      <c r="F21" s="1217"/>
      <c r="G21" s="1217"/>
      <c r="H21" s="1267"/>
      <c r="I21" s="1217"/>
      <c r="J21" s="1217"/>
      <c r="K21" s="1217"/>
      <c r="V21" s="460"/>
      <c r="W21" s="271" t="s">
        <v>631</v>
      </c>
      <c r="X21" s="271" t="s">
        <v>602</v>
      </c>
    </row>
    <row r="22" spans="1:24" ht="15.75" customHeight="1" x14ac:dyDescent="0.25">
      <c r="A22" s="1"/>
      <c r="B22" s="1217"/>
      <c r="C22" s="1217"/>
      <c r="D22" s="1217"/>
      <c r="E22" s="1217"/>
      <c r="F22" s="1217"/>
      <c r="G22" s="1217"/>
      <c r="H22" s="1267"/>
      <c r="I22" s="1217"/>
      <c r="J22" s="1217"/>
      <c r="K22" s="1217"/>
      <c r="V22" s="460"/>
      <c r="W22" s="271" t="s">
        <v>632</v>
      </c>
      <c r="X22" s="271" t="s">
        <v>603</v>
      </c>
    </row>
    <row r="23" spans="1:24" ht="15.75" customHeight="1" x14ac:dyDescent="0.25">
      <c r="A23" s="1"/>
      <c r="B23" s="1217"/>
      <c r="C23" s="1217"/>
      <c r="D23" s="1217"/>
      <c r="E23" s="1217"/>
      <c r="F23" s="1217"/>
      <c r="G23" s="1217"/>
      <c r="H23" s="1217"/>
      <c r="I23" s="1217"/>
      <c r="J23" s="1217"/>
      <c r="K23" s="1217"/>
      <c r="V23" s="460"/>
      <c r="W23" s="271" t="s">
        <v>633</v>
      </c>
      <c r="X23" s="271" t="s">
        <v>604</v>
      </c>
    </row>
    <row r="24" spans="1:24" ht="15.75" customHeight="1" x14ac:dyDescent="0.25">
      <c r="A24" s="1"/>
      <c r="B24" s="1217"/>
      <c r="C24" s="1217"/>
      <c r="D24" s="1217"/>
      <c r="E24" s="1217"/>
      <c r="F24" s="1217"/>
      <c r="G24" s="1217"/>
      <c r="H24" s="1217"/>
      <c r="I24" s="1217"/>
      <c r="J24" s="1217"/>
      <c r="K24" s="1217"/>
      <c r="V24" s="460"/>
      <c r="W24" s="271" t="s">
        <v>634</v>
      </c>
      <c r="X24" s="271" t="s">
        <v>605</v>
      </c>
    </row>
    <row r="25" spans="1:24" ht="15.75" customHeight="1" x14ac:dyDescent="0.25">
      <c r="A25" s="1"/>
      <c r="B25" s="1217"/>
      <c r="C25" s="1217"/>
      <c r="D25" s="1217"/>
      <c r="E25" s="1217"/>
      <c r="F25" s="1217"/>
      <c r="G25" s="1217"/>
      <c r="H25" s="1217"/>
      <c r="I25" s="1217"/>
      <c r="J25" s="1217"/>
      <c r="K25" s="1217"/>
      <c r="V25" s="460"/>
      <c r="W25" s="271" t="s">
        <v>635</v>
      </c>
      <c r="X25" s="271" t="s">
        <v>606</v>
      </c>
    </row>
    <row r="26" spans="1:24" ht="15.75" customHeight="1" x14ac:dyDescent="0.25">
      <c r="A26" s="1"/>
      <c r="B26" s="1217"/>
      <c r="C26" s="1217"/>
      <c r="D26" s="1217"/>
      <c r="E26" s="1217"/>
      <c r="F26" s="1217"/>
      <c r="G26" s="1217"/>
      <c r="H26" s="1217"/>
      <c r="I26" s="1217"/>
      <c r="J26" s="1217"/>
      <c r="K26" s="1217"/>
      <c r="V26" s="460"/>
      <c r="W26" s="271" t="s">
        <v>636</v>
      </c>
      <c r="X26" s="271" t="s">
        <v>607</v>
      </c>
    </row>
    <row r="27" spans="1:24" ht="15.75" customHeight="1" x14ac:dyDescent="0.25">
      <c r="A27" s="1"/>
      <c r="B27" s="1217"/>
      <c r="C27" s="1217"/>
      <c r="D27" s="1217"/>
      <c r="E27" s="1217"/>
      <c r="F27" s="1217"/>
      <c r="G27" s="1217"/>
      <c r="H27" s="1217"/>
      <c r="I27" s="1217"/>
      <c r="J27" s="1217"/>
      <c r="K27" s="1217"/>
      <c r="V27" s="460"/>
      <c r="W27" s="271" t="s">
        <v>637</v>
      </c>
      <c r="X27" s="271" t="s">
        <v>608</v>
      </c>
    </row>
    <row r="28" spans="1:24" ht="15.75" customHeight="1" x14ac:dyDescent="0.25">
      <c r="A28" s="1"/>
      <c r="B28" s="1217"/>
      <c r="C28" s="1217"/>
      <c r="D28" s="1217"/>
      <c r="E28" s="1217"/>
      <c r="F28" s="1217"/>
      <c r="G28" s="1217"/>
      <c r="H28" s="1217"/>
      <c r="I28" s="1217"/>
      <c r="J28" s="1217"/>
      <c r="K28" s="1217"/>
      <c r="V28" s="460"/>
      <c r="W28" s="271" t="s">
        <v>638</v>
      </c>
      <c r="X28" s="271" t="s">
        <v>609</v>
      </c>
    </row>
    <row r="29" spans="1:24" ht="15.75" customHeight="1" x14ac:dyDescent="0.25">
      <c r="A29" s="1"/>
      <c r="B29" s="1217"/>
      <c r="C29" s="1217"/>
      <c r="D29" s="1217"/>
      <c r="E29" s="1217"/>
      <c r="F29" s="1217"/>
      <c r="G29" s="1217"/>
      <c r="H29" s="1217"/>
      <c r="I29" s="1217"/>
      <c r="J29" s="1217"/>
      <c r="K29" s="1217"/>
      <c r="V29" s="460"/>
      <c r="W29" s="271" t="s">
        <v>639</v>
      </c>
      <c r="X29" s="271" t="s">
        <v>610</v>
      </c>
    </row>
    <row r="30" spans="1:24" ht="15.75" customHeight="1" x14ac:dyDescent="0.25">
      <c r="A30" s="1"/>
      <c r="B30" s="1217"/>
      <c r="C30" s="1217"/>
      <c r="D30" s="1217"/>
      <c r="E30" s="1217"/>
      <c r="F30" s="1217"/>
      <c r="G30" s="1217"/>
      <c r="H30" s="1217"/>
      <c r="I30" s="1217"/>
      <c r="J30" s="1217"/>
      <c r="K30" s="1217"/>
      <c r="V30" s="460"/>
      <c r="W30" s="271" t="s">
        <v>640</v>
      </c>
      <c r="X30" s="271" t="s">
        <v>611</v>
      </c>
    </row>
    <row r="31" spans="1:24" ht="15.75" customHeight="1" x14ac:dyDescent="0.25">
      <c r="A31" s="1"/>
      <c r="B31" s="1217"/>
      <c r="C31" s="1217"/>
      <c r="D31" s="1217"/>
      <c r="E31" s="1217"/>
      <c r="F31" s="1217"/>
      <c r="G31" s="1217"/>
      <c r="H31" s="1217"/>
      <c r="I31" s="1217"/>
      <c r="J31" s="1217"/>
      <c r="K31" s="1217"/>
      <c r="V31" s="460"/>
      <c r="W31" s="271" t="s">
        <v>641</v>
      </c>
      <c r="X31" s="271" t="s">
        <v>612</v>
      </c>
    </row>
    <row r="32" spans="1:24" ht="15.75" customHeight="1" x14ac:dyDescent="0.25">
      <c r="A32" s="1"/>
      <c r="B32" s="1217"/>
      <c r="C32" s="1217"/>
      <c r="D32" s="1217"/>
      <c r="E32" s="1217"/>
      <c r="F32" s="1217"/>
      <c r="G32" s="1217"/>
      <c r="H32" s="1217"/>
      <c r="I32" s="1217"/>
      <c r="J32" s="1217"/>
      <c r="K32" s="1217"/>
      <c r="V32" s="460"/>
    </row>
    <row r="33" spans="1:24" ht="15.75" customHeight="1" x14ac:dyDescent="0.25">
      <c r="A33" s="1"/>
      <c r="B33" s="1217"/>
      <c r="C33" s="1217"/>
      <c r="D33" s="1217"/>
      <c r="E33" s="1217"/>
      <c r="F33" s="1217"/>
      <c r="G33" s="1217"/>
      <c r="H33" s="1217"/>
      <c r="I33" s="1217"/>
      <c r="J33" s="1217"/>
      <c r="K33" s="1217"/>
      <c r="V33" s="460"/>
    </row>
    <row r="34" spans="1:24" ht="15.75" customHeight="1" x14ac:dyDescent="0.25">
      <c r="A34" s="1"/>
      <c r="B34" s="1217"/>
      <c r="C34" s="1217"/>
      <c r="D34" s="1217"/>
      <c r="E34" s="1217"/>
      <c r="F34" s="1217"/>
      <c r="G34" s="1217"/>
      <c r="H34" s="1217"/>
      <c r="I34" s="1217"/>
      <c r="J34" s="1217"/>
      <c r="K34" s="1217"/>
      <c r="V34" s="460"/>
    </row>
    <row r="35" spans="1:24" ht="15.75" customHeight="1" x14ac:dyDescent="0.25">
      <c r="A35" s="1"/>
      <c r="B35" s="1217"/>
      <c r="C35" s="1217"/>
      <c r="D35" s="1217"/>
      <c r="E35" s="1217"/>
      <c r="F35" s="1217"/>
      <c r="G35" s="1217"/>
      <c r="H35" s="1217"/>
      <c r="I35" s="1217"/>
      <c r="J35" s="1217"/>
      <c r="K35" s="1217"/>
      <c r="V35" s="460"/>
    </row>
    <row r="36" spans="1:24" ht="15.75" customHeight="1" x14ac:dyDescent="0.25">
      <c r="A36" s="1"/>
      <c r="V36" s="460"/>
      <c r="W36" s="271"/>
      <c r="X36" s="271"/>
    </row>
    <row r="37" spans="1:24" ht="15.75" customHeight="1" x14ac:dyDescent="0.25">
      <c r="A37" s="1"/>
      <c r="V37" s="460"/>
      <c r="W37" s="271"/>
      <c r="X37" s="271"/>
    </row>
    <row r="38" spans="1:24" ht="15.75" customHeight="1" x14ac:dyDescent="0.25">
      <c r="A38" s="1"/>
      <c r="V38" s="460"/>
      <c r="W38" s="271"/>
      <c r="X38" s="271"/>
    </row>
    <row r="39" spans="1:24" ht="15.75" customHeight="1" x14ac:dyDescent="0.25">
      <c r="A39" s="1"/>
      <c r="V39" s="460"/>
      <c r="W39" s="271"/>
      <c r="X39" s="271"/>
    </row>
    <row r="40" spans="1:24" ht="15.75" customHeight="1" x14ac:dyDescent="0.25">
      <c r="A40" s="1"/>
      <c r="V40" s="460"/>
    </row>
    <row r="41" spans="1:24" ht="15.75" customHeight="1" x14ac:dyDescent="0.25">
      <c r="A41" s="1"/>
      <c r="V41" s="460"/>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c r="A56" s="1"/>
    </row>
    <row r="57" spans="1:1" ht="15.75" customHeight="1" x14ac:dyDescent="0.25">
      <c r="A57" s="1"/>
    </row>
    <row r="58" spans="1:1" ht="15.75" customHeight="1" x14ac:dyDescent="0.25">
      <c r="A58" s="1"/>
    </row>
    <row r="59" spans="1:1" ht="15.75" customHeight="1" x14ac:dyDescent="0.25">
      <c r="A59" s="1"/>
    </row>
    <row r="60" spans="1:1" ht="15.75" customHeight="1" x14ac:dyDescent="0.25">
      <c r="A60" s="1"/>
    </row>
    <row r="61" spans="1:1" ht="15.75" customHeight="1" x14ac:dyDescent="0.25">
      <c r="A61" s="1"/>
    </row>
    <row r="62" spans="1:1" ht="15.75" customHeight="1" x14ac:dyDescent="0.25">
      <c r="A62" s="1"/>
    </row>
    <row r="63" spans="1:1" ht="15.75" customHeight="1" x14ac:dyDescent="0.25">
      <c r="A63" s="1"/>
    </row>
    <row r="64" spans="1:1" ht="15.75" customHeight="1" x14ac:dyDescent="0.25">
      <c r="A64" s="1"/>
    </row>
    <row r="65" spans="1:1" ht="15.75" customHeight="1" x14ac:dyDescent="0.25">
      <c r="A65" s="1"/>
    </row>
    <row r="66" spans="1:1" ht="15.75" customHeight="1" x14ac:dyDescent="0.25">
      <c r="A66" s="1"/>
    </row>
    <row r="67" spans="1:1" ht="15.75" customHeight="1" x14ac:dyDescent="0.25">
      <c r="A67" s="1"/>
    </row>
    <row r="68" spans="1:1" ht="15.75" customHeight="1" x14ac:dyDescent="0.25">
      <c r="A68" s="1"/>
    </row>
    <row r="69" spans="1:1" ht="15.75" customHeight="1" x14ac:dyDescent="0.25">
      <c r="A69" s="1"/>
    </row>
    <row r="70" spans="1:1" ht="15.75" customHeight="1" x14ac:dyDescent="0.25">
      <c r="A70" s="1"/>
    </row>
    <row r="71" spans="1:1" ht="15.75" customHeight="1" x14ac:dyDescent="0.25">
      <c r="A71" s="1"/>
    </row>
    <row r="72" spans="1:1" ht="15.75" customHeight="1" x14ac:dyDescent="0.25">
      <c r="A72" s="1"/>
    </row>
    <row r="73" spans="1:1" ht="15.75" customHeight="1" x14ac:dyDescent="0.25">
      <c r="A73" s="1"/>
    </row>
    <row r="74" spans="1:1" ht="15.75" customHeight="1" x14ac:dyDescent="0.25">
      <c r="A74" s="1"/>
    </row>
    <row r="75" spans="1:1" ht="15.75" customHeight="1" x14ac:dyDescent="0.25">
      <c r="A75" s="1"/>
    </row>
    <row r="76" spans="1:1" ht="15.75" customHeight="1" x14ac:dyDescent="0.25">
      <c r="A76" s="1"/>
    </row>
    <row r="77" spans="1:1" ht="15.75" customHeight="1" x14ac:dyDescent="0.25">
      <c r="A77" s="1"/>
    </row>
    <row r="78" spans="1:1" ht="15.75" customHeight="1" x14ac:dyDescent="0.25">
      <c r="A78" s="1"/>
    </row>
    <row r="79" spans="1:1" ht="15.75" customHeight="1" x14ac:dyDescent="0.25">
      <c r="A79" s="1"/>
    </row>
    <row r="80" spans="1:1" ht="15.75" customHeight="1" x14ac:dyDescent="0.25">
      <c r="A80" s="1"/>
    </row>
    <row r="81" spans="1:1" ht="15.75" customHeight="1" x14ac:dyDescent="0.25">
      <c r="A81" s="1"/>
    </row>
    <row r="82" spans="1:1" ht="15.75" customHeight="1" x14ac:dyDescent="0.25">
      <c r="A82" s="1"/>
    </row>
    <row r="83" spans="1:1" ht="15.75" customHeight="1" x14ac:dyDescent="0.25">
      <c r="A83" s="1"/>
    </row>
    <row r="84" spans="1:1" ht="15.75" customHeight="1" x14ac:dyDescent="0.25">
      <c r="A84" s="1"/>
    </row>
    <row r="85" spans="1:1" ht="15.75" customHeight="1" x14ac:dyDescent="0.25">
      <c r="A85" s="1"/>
    </row>
    <row r="86" spans="1:1" ht="15.75" customHeight="1" x14ac:dyDescent="0.25">
      <c r="A86" s="1"/>
    </row>
    <row r="87" spans="1:1" ht="15.75" customHeight="1" x14ac:dyDescent="0.25">
      <c r="A87" s="1"/>
    </row>
    <row r="88" spans="1:1" ht="15.75" customHeight="1" x14ac:dyDescent="0.25">
      <c r="A88" s="1"/>
    </row>
    <row r="89" spans="1:1" ht="15.75" customHeight="1" x14ac:dyDescent="0.25">
      <c r="A89" s="1"/>
    </row>
    <row r="90" spans="1:1" ht="15.75" customHeight="1" x14ac:dyDescent="0.25">
      <c r="A90" s="1"/>
    </row>
    <row r="91" spans="1:1" ht="15.75" customHeight="1" x14ac:dyDescent="0.25">
      <c r="A91" s="1"/>
    </row>
    <row r="92" spans="1:1" ht="15.75" customHeight="1" x14ac:dyDescent="0.25">
      <c r="A92" s="1"/>
    </row>
    <row r="93" spans="1:1" ht="15.75" customHeight="1" x14ac:dyDescent="0.25">
      <c r="A93" s="1"/>
    </row>
    <row r="94" spans="1:1" ht="15.75" customHeight="1" x14ac:dyDescent="0.25">
      <c r="A94" s="1"/>
    </row>
    <row r="95" spans="1:1" ht="15.75" customHeight="1" x14ac:dyDescent="0.25">
      <c r="A95" s="1"/>
    </row>
    <row r="96" spans="1:1" ht="15.75" customHeight="1" x14ac:dyDescent="0.25">
      <c r="A96" s="1"/>
    </row>
    <row r="97" spans="1:1" ht="15.75" customHeight="1" x14ac:dyDescent="0.25">
      <c r="A97" s="1"/>
    </row>
    <row r="98" spans="1:1" ht="15.75" customHeight="1" x14ac:dyDescent="0.25">
      <c r="A98" s="1"/>
    </row>
    <row r="99" spans="1:1" ht="15.75" customHeight="1" x14ac:dyDescent="0.25">
      <c r="A99" s="1"/>
    </row>
    <row r="100" spans="1:1" ht="15.75" customHeight="1" x14ac:dyDescent="0.25">
      <c r="A100" s="1"/>
    </row>
    <row r="101" spans="1:1" ht="15.75" customHeight="1" x14ac:dyDescent="0.25">
      <c r="A101" s="1"/>
    </row>
    <row r="102" spans="1:1" ht="15.75" customHeight="1" x14ac:dyDescent="0.25">
      <c r="A102" s="1"/>
    </row>
    <row r="103" spans="1:1" ht="15.75" customHeight="1" x14ac:dyDescent="0.25">
      <c r="A103" s="1"/>
    </row>
    <row r="104" spans="1:1" ht="15.75" customHeight="1" x14ac:dyDescent="0.25">
      <c r="A104" s="1"/>
    </row>
    <row r="105" spans="1:1" ht="15.75" customHeight="1" x14ac:dyDescent="0.25">
      <c r="A105" s="1"/>
    </row>
    <row r="106" spans="1:1" ht="15.75" customHeight="1" x14ac:dyDescent="0.25">
      <c r="A106" s="1"/>
    </row>
    <row r="107" spans="1:1" ht="15.75" customHeight="1" x14ac:dyDescent="0.25">
      <c r="A107" s="1"/>
    </row>
    <row r="108" spans="1:1" ht="15.75" customHeight="1" x14ac:dyDescent="0.25">
      <c r="A108" s="1"/>
    </row>
    <row r="109" spans="1:1" ht="15.75" customHeight="1" x14ac:dyDescent="0.25">
      <c r="A109" s="1"/>
    </row>
    <row r="110" spans="1:1" ht="15.75" customHeight="1" x14ac:dyDescent="0.25">
      <c r="A110" s="1"/>
    </row>
    <row r="111" spans="1:1" ht="15.75" customHeight="1" x14ac:dyDescent="0.25">
      <c r="A111" s="1"/>
    </row>
    <row r="112" spans="1:1" ht="15.75" customHeight="1" x14ac:dyDescent="0.25">
      <c r="A112" s="1"/>
    </row>
    <row r="113" spans="1:1" ht="15.75" customHeight="1" x14ac:dyDescent="0.25">
      <c r="A113" s="1"/>
    </row>
    <row r="114" spans="1:1" ht="15.75" customHeight="1" x14ac:dyDescent="0.25">
      <c r="A114" s="1"/>
    </row>
    <row r="115" spans="1:1" ht="15.75" customHeight="1" x14ac:dyDescent="0.25">
      <c r="A115" s="1"/>
    </row>
    <row r="116" spans="1:1" ht="15.75" customHeight="1" x14ac:dyDescent="0.25">
      <c r="A116" s="1"/>
    </row>
    <row r="117" spans="1:1" ht="15.75" customHeight="1" x14ac:dyDescent="0.25">
      <c r="A117" s="1"/>
    </row>
    <row r="118" spans="1:1" ht="15.75" customHeight="1" x14ac:dyDescent="0.25">
      <c r="A118" s="1"/>
    </row>
    <row r="119" spans="1:1" ht="15.75" customHeight="1" x14ac:dyDescent="0.25">
      <c r="A119" s="1"/>
    </row>
    <row r="120" spans="1:1" ht="15.75" customHeight="1" x14ac:dyDescent="0.25">
      <c r="A120" s="1"/>
    </row>
    <row r="121" spans="1:1" ht="15.75" customHeight="1" x14ac:dyDescent="0.25">
      <c r="A121" s="1"/>
    </row>
    <row r="122" spans="1:1" ht="15.75" customHeight="1" x14ac:dyDescent="0.25">
      <c r="A122" s="1"/>
    </row>
    <row r="123" spans="1:1" ht="15.75" customHeight="1" x14ac:dyDescent="0.25">
      <c r="A123" s="1"/>
    </row>
    <row r="124" spans="1:1" ht="15.75" customHeight="1" x14ac:dyDescent="0.25">
      <c r="A124" s="1"/>
    </row>
    <row r="125" spans="1:1" ht="15.75" customHeight="1" x14ac:dyDescent="0.25">
      <c r="A125" s="1"/>
    </row>
    <row r="126" spans="1:1" ht="15.75" customHeight="1" x14ac:dyDescent="0.25">
      <c r="A126" s="1"/>
    </row>
    <row r="127" spans="1:1" ht="15.75" customHeight="1" x14ac:dyDescent="0.25">
      <c r="A127" s="1"/>
    </row>
    <row r="128" spans="1:1" ht="15.75" customHeight="1" x14ac:dyDescent="0.25">
      <c r="A128" s="1"/>
    </row>
    <row r="129" spans="1:1" ht="15.75" customHeight="1" x14ac:dyDescent="0.25">
      <c r="A129" s="1"/>
    </row>
    <row r="130" spans="1:1" ht="15.75" customHeight="1" x14ac:dyDescent="0.25">
      <c r="A130" s="1"/>
    </row>
    <row r="131" spans="1:1" ht="15.75" customHeight="1" x14ac:dyDescent="0.25">
      <c r="A131" s="1"/>
    </row>
    <row r="132" spans="1:1" ht="15.75" customHeight="1" x14ac:dyDescent="0.25">
      <c r="A132" s="1"/>
    </row>
    <row r="133" spans="1:1" ht="15.75" customHeight="1" x14ac:dyDescent="0.25">
      <c r="A133" s="1"/>
    </row>
    <row r="134" spans="1:1" ht="15.75" customHeight="1" x14ac:dyDescent="0.25">
      <c r="A134" s="1"/>
    </row>
    <row r="135" spans="1:1" ht="15.75" customHeight="1" x14ac:dyDescent="0.25">
      <c r="A135" s="1"/>
    </row>
    <row r="136" spans="1:1" ht="15.75" customHeight="1" x14ac:dyDescent="0.25">
      <c r="A136" s="1"/>
    </row>
    <row r="137" spans="1:1" ht="15.75" customHeight="1" x14ac:dyDescent="0.25">
      <c r="A137" s="1"/>
    </row>
    <row r="138" spans="1:1" ht="15.75" customHeight="1" x14ac:dyDescent="0.25">
      <c r="A138" s="1"/>
    </row>
    <row r="139" spans="1:1" ht="15.75" customHeight="1" x14ac:dyDescent="0.25">
      <c r="A139" s="1"/>
    </row>
    <row r="140" spans="1:1" ht="15.75" customHeight="1" x14ac:dyDescent="0.25">
      <c r="A140" s="1"/>
    </row>
    <row r="141" spans="1:1" ht="15.75" customHeight="1" x14ac:dyDescent="0.25">
      <c r="A141" s="1"/>
    </row>
    <row r="142" spans="1:1" ht="15.75" customHeight="1" x14ac:dyDescent="0.25">
      <c r="A142" s="1"/>
    </row>
    <row r="143" spans="1:1" ht="15.75" customHeight="1" x14ac:dyDescent="0.25">
      <c r="A143" s="1"/>
    </row>
    <row r="144" spans="1:1" ht="15.75" customHeight="1" x14ac:dyDescent="0.25">
      <c r="A144" s="1"/>
    </row>
    <row r="145" spans="1:1" ht="15.75" customHeight="1" x14ac:dyDescent="0.25">
      <c r="A145" s="1"/>
    </row>
    <row r="146" spans="1:1" ht="15.75" customHeight="1" x14ac:dyDescent="0.25">
      <c r="A146" s="1"/>
    </row>
    <row r="147" spans="1:1" ht="15.75" customHeight="1" x14ac:dyDescent="0.25">
      <c r="A147" s="1"/>
    </row>
    <row r="148" spans="1:1" ht="15.75" customHeight="1" x14ac:dyDescent="0.25">
      <c r="A148" s="1"/>
    </row>
    <row r="149" spans="1:1" ht="15.75" customHeight="1" x14ac:dyDescent="0.25">
      <c r="A149" s="1"/>
    </row>
    <row r="150" spans="1:1" ht="15.75" customHeight="1" x14ac:dyDescent="0.25">
      <c r="A150" s="1"/>
    </row>
    <row r="151" spans="1:1" ht="15.75" customHeight="1" x14ac:dyDescent="0.25">
      <c r="A151" s="1"/>
    </row>
    <row r="152" spans="1:1" ht="15.75" customHeight="1" x14ac:dyDescent="0.25">
      <c r="A152" s="1"/>
    </row>
    <row r="153" spans="1:1" ht="15.75" customHeight="1" x14ac:dyDescent="0.25">
      <c r="A153" s="1"/>
    </row>
    <row r="154" spans="1:1" ht="15.75" customHeight="1" x14ac:dyDescent="0.25">
      <c r="A154" s="1"/>
    </row>
    <row r="155" spans="1:1" ht="15.75" customHeight="1" x14ac:dyDescent="0.25">
      <c r="A155" s="1"/>
    </row>
    <row r="156" spans="1:1" ht="15.75" customHeight="1" x14ac:dyDescent="0.25">
      <c r="A156" s="1"/>
    </row>
    <row r="157" spans="1:1" ht="15.75" customHeight="1" x14ac:dyDescent="0.25">
      <c r="A157" s="1"/>
    </row>
    <row r="158" spans="1:1" ht="15.75" customHeight="1" x14ac:dyDescent="0.25">
      <c r="A158" s="1"/>
    </row>
    <row r="159" spans="1:1" ht="15.75" customHeight="1" x14ac:dyDescent="0.25">
      <c r="A159" s="1"/>
    </row>
    <row r="160" spans="1:1" ht="15.75" customHeight="1" x14ac:dyDescent="0.25">
      <c r="A160" s="1"/>
    </row>
    <row r="161" spans="1:1" ht="15.75" customHeight="1" x14ac:dyDescent="0.25">
      <c r="A161" s="1"/>
    </row>
    <row r="162" spans="1:1" ht="15.75" customHeight="1" x14ac:dyDescent="0.25">
      <c r="A162" s="1"/>
    </row>
    <row r="163" spans="1:1" ht="15.75" customHeight="1" x14ac:dyDescent="0.25">
      <c r="A163" s="1"/>
    </row>
    <row r="164" spans="1:1" ht="15.75" customHeight="1" x14ac:dyDescent="0.25">
      <c r="A164" s="1"/>
    </row>
    <row r="165" spans="1:1" ht="15.75" customHeight="1" x14ac:dyDescent="0.25">
      <c r="A165" s="1"/>
    </row>
    <row r="166" spans="1:1" ht="15.75" customHeight="1" x14ac:dyDescent="0.25">
      <c r="A166" s="1"/>
    </row>
    <row r="167" spans="1:1" ht="15.75" customHeight="1" x14ac:dyDescent="0.25">
      <c r="A167" s="1"/>
    </row>
    <row r="168" spans="1:1" ht="15.75" customHeight="1" x14ac:dyDescent="0.25">
      <c r="A168" s="1"/>
    </row>
    <row r="169" spans="1:1" ht="15.75" customHeight="1" x14ac:dyDescent="0.25">
      <c r="A169" s="1"/>
    </row>
    <row r="170" spans="1:1" ht="15.75" customHeight="1" x14ac:dyDescent="0.25">
      <c r="A170" s="1"/>
    </row>
    <row r="171" spans="1:1" ht="15.75" customHeight="1" x14ac:dyDescent="0.25">
      <c r="A171" s="1"/>
    </row>
    <row r="172" spans="1:1" ht="15.75" customHeight="1" x14ac:dyDescent="0.25">
      <c r="A172" s="1"/>
    </row>
    <row r="173" spans="1:1" ht="15.75" customHeight="1" x14ac:dyDescent="0.25">
      <c r="A173" s="1"/>
    </row>
    <row r="174" spans="1:1" ht="15.75" customHeight="1" x14ac:dyDescent="0.25">
      <c r="A174" s="1"/>
    </row>
    <row r="175" spans="1:1" ht="15.75" customHeight="1" x14ac:dyDescent="0.25">
      <c r="A175" s="1"/>
    </row>
    <row r="176" spans="1:1" ht="15.75" customHeight="1" x14ac:dyDescent="0.25">
      <c r="A176" s="1"/>
    </row>
    <row r="177" spans="1:1" ht="15.75" customHeight="1" x14ac:dyDescent="0.25">
      <c r="A177" s="1"/>
    </row>
    <row r="178" spans="1:1" ht="15.75" customHeight="1" x14ac:dyDescent="0.25">
      <c r="A178" s="1"/>
    </row>
    <row r="179" spans="1:1" ht="15.75" customHeight="1" x14ac:dyDescent="0.25">
      <c r="A179" s="1"/>
    </row>
    <row r="180" spans="1:1" ht="15.75" customHeight="1" x14ac:dyDescent="0.25">
      <c r="A180" s="1"/>
    </row>
    <row r="181" spans="1:1" ht="15.75" customHeight="1" x14ac:dyDescent="0.25">
      <c r="A181" s="1"/>
    </row>
    <row r="182" spans="1:1" ht="15.75" customHeight="1" x14ac:dyDescent="0.25">
      <c r="A182" s="1"/>
    </row>
    <row r="183" spans="1:1" ht="15.75" customHeight="1" x14ac:dyDescent="0.25">
      <c r="A183" s="1"/>
    </row>
    <row r="184" spans="1:1" ht="15.75" customHeight="1" x14ac:dyDescent="0.25"/>
    <row r="185" spans="1:1" ht="15.75" customHeight="1" x14ac:dyDescent="0.25"/>
    <row r="186" spans="1:1" ht="15.75" customHeight="1" x14ac:dyDescent="0.25"/>
    <row r="187" spans="1:1" ht="15.75" customHeight="1" x14ac:dyDescent="0.25"/>
    <row r="188" spans="1:1" ht="15.75" customHeight="1" x14ac:dyDescent="0.25"/>
    <row r="189" spans="1:1" ht="15.75" customHeight="1" x14ac:dyDescent="0.25"/>
    <row r="190" spans="1:1" ht="15.75" customHeight="1" x14ac:dyDescent="0.25"/>
    <row r="191" spans="1:1" ht="15.75" customHeight="1" x14ac:dyDescent="0.25"/>
    <row r="192" spans="1:1"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sheetData>
  <mergeCells count="1">
    <mergeCell ref="V2:V13"/>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71"/>
  <sheetViews>
    <sheetView showGridLines="0" workbookViewId="0">
      <pane xSplit="1" ySplit="1" topLeftCell="B2" activePane="bottomRight" state="frozen"/>
      <selection activeCell="H114" sqref="H114"/>
      <selection pane="topRight" activeCell="H114" sqref="H114"/>
      <selection pane="bottomLeft" activeCell="H114" sqref="H114"/>
      <selection pane="bottomRight" activeCell="C2" sqref="C2"/>
    </sheetView>
  </sheetViews>
  <sheetFormatPr baseColWidth="10" defaultColWidth="14.42578125" defaultRowHeight="15" customHeight="1" x14ac:dyDescent="0.25"/>
  <cols>
    <col min="1" max="1" width="18.140625" style="31" customWidth="1"/>
    <col min="2" max="11" width="21.42578125" style="31" customWidth="1"/>
    <col min="13" max="21" width="4.42578125" style="31" customWidth="1"/>
    <col min="22" max="23" width="12.5703125" style="31" customWidth="1"/>
    <col min="24" max="16384" width="14.42578125" style="31"/>
  </cols>
  <sheetData>
    <row r="1" spans="1:23" ht="15.75" thickBot="1" x14ac:dyDescent="0.3">
      <c r="A1" s="143" t="s">
        <v>6</v>
      </c>
      <c r="B1" s="257" t="s">
        <v>154</v>
      </c>
      <c r="C1" s="257" t="s">
        <v>1025</v>
      </c>
      <c r="D1" s="258" t="s">
        <v>659</v>
      </c>
      <c r="E1" s="258" t="s">
        <v>266</v>
      </c>
      <c r="F1" s="258" t="s">
        <v>155</v>
      </c>
      <c r="G1" s="258" t="s">
        <v>204</v>
      </c>
      <c r="H1" s="257" t="s">
        <v>156</v>
      </c>
      <c r="I1" s="258" t="s">
        <v>840</v>
      </c>
      <c r="J1" s="543" t="str">
        <f>'Status courant'!J1</f>
        <v>Top</v>
      </c>
      <c r="K1" s="267" t="str">
        <f>'Status courant'!K1</f>
        <v>Gravlax</v>
      </c>
      <c r="M1" s="96"/>
      <c r="N1" s="34"/>
      <c r="O1" s="34"/>
      <c r="P1" s="34"/>
      <c r="Q1" s="34"/>
      <c r="R1" s="34"/>
      <c r="S1" s="34"/>
      <c r="T1" s="34"/>
      <c r="U1" s="34"/>
      <c r="V1" s="34"/>
      <c r="W1" s="34"/>
    </row>
    <row r="2" spans="1:23" ht="15.75" thickBot="1" x14ac:dyDescent="0.3">
      <c r="A2" s="1176" t="s">
        <v>31</v>
      </c>
      <c r="B2" s="1164">
        <f>Stats!B13</f>
        <v>0</v>
      </c>
      <c r="C2" s="33">
        <f>Stats!C13</f>
        <v>1</v>
      </c>
      <c r="D2" s="33">
        <f>Stats!D13</f>
        <v>2</v>
      </c>
      <c r="E2" s="33">
        <f>Stats!E13</f>
        <v>3</v>
      </c>
      <c r="F2" s="33">
        <f>Stats!F13</f>
        <v>0</v>
      </c>
      <c r="G2" s="33">
        <f>Stats!G13</f>
        <v>1</v>
      </c>
      <c r="H2" s="33">
        <f>Stats!H13</f>
        <v>4</v>
      </c>
      <c r="I2" s="33">
        <f>Stats!I13</f>
        <v>3</v>
      </c>
      <c r="J2" s="524">
        <f>Stats!J13</f>
        <v>3</v>
      </c>
      <c r="K2" s="525">
        <f>Minions!C24</f>
        <v>0</v>
      </c>
      <c r="M2" s="34"/>
      <c r="N2" s="34"/>
      <c r="O2" s="34"/>
      <c r="P2" s="34"/>
      <c r="Q2" s="34"/>
      <c r="R2" s="34"/>
      <c r="S2" s="34"/>
      <c r="T2" s="34"/>
      <c r="U2" s="34"/>
      <c r="V2" s="34"/>
      <c r="W2" s="34"/>
    </row>
    <row r="3" spans="1:23" x14ac:dyDescent="0.25">
      <c r="A3" s="1177" t="s">
        <v>26</v>
      </c>
      <c r="B3" s="1165" t="s">
        <v>36</v>
      </c>
      <c r="C3" s="1145" t="s">
        <v>35</v>
      </c>
      <c r="D3" s="1145" t="s">
        <v>33</v>
      </c>
      <c r="E3" s="1146" t="s">
        <v>34</v>
      </c>
      <c r="F3" s="1145" t="s">
        <v>35</v>
      </c>
      <c r="G3" s="1145" t="s">
        <v>35</v>
      </c>
      <c r="H3" s="1145" t="s">
        <v>33</v>
      </c>
      <c r="I3" s="1146" t="s">
        <v>36</v>
      </c>
      <c r="J3" s="1186" t="str">
        <f>Minions!B3</f>
        <v>Dromaeosaur</v>
      </c>
      <c r="K3" s="1187" t="str">
        <f>Minions!C3</f>
        <v>Cat</v>
      </c>
      <c r="M3" s="34"/>
      <c r="N3" s="34"/>
      <c r="O3" s="34"/>
      <c r="P3" s="34"/>
      <c r="Q3" s="34"/>
      <c r="R3" s="34"/>
      <c r="S3" s="34"/>
      <c r="T3" s="34"/>
      <c r="U3" s="34"/>
      <c r="V3" s="34"/>
      <c r="W3" s="34"/>
    </row>
    <row r="4" spans="1:23" x14ac:dyDescent="0.25">
      <c r="A4" s="1177" t="s">
        <v>99</v>
      </c>
      <c r="B4" s="1166" t="s">
        <v>237</v>
      </c>
      <c r="C4" s="1147" t="s">
        <v>276</v>
      </c>
      <c r="D4" s="1147" t="s">
        <v>661</v>
      </c>
      <c r="E4" s="1147" t="s">
        <v>272</v>
      </c>
      <c r="F4" s="1147" t="s">
        <v>748</v>
      </c>
      <c r="G4" s="1148" t="s">
        <v>192</v>
      </c>
      <c r="H4" s="1148" t="s">
        <v>420</v>
      </c>
      <c r="I4" s="1147" t="s">
        <v>237</v>
      </c>
      <c r="J4" s="526"/>
      <c r="K4" s="527"/>
      <c r="M4" s="34"/>
      <c r="N4" s="34"/>
      <c r="O4" s="34"/>
      <c r="P4" s="34"/>
      <c r="Q4" s="34"/>
      <c r="R4" s="34"/>
      <c r="S4" s="34"/>
      <c r="T4" s="34"/>
      <c r="U4" s="34"/>
      <c r="V4" s="34"/>
      <c r="W4" s="34"/>
    </row>
    <row r="5" spans="1:23" x14ac:dyDescent="0.25">
      <c r="A5" s="1177" t="s">
        <v>42</v>
      </c>
      <c r="B5" s="1167" t="s">
        <v>171</v>
      </c>
      <c r="C5" s="1149" t="s">
        <v>180</v>
      </c>
      <c r="D5" s="1150" t="s">
        <v>673</v>
      </c>
      <c r="E5" s="1147" t="s">
        <v>267</v>
      </c>
      <c r="F5" s="1149" t="s">
        <v>190</v>
      </c>
      <c r="G5" s="1149" t="s">
        <v>193</v>
      </c>
      <c r="H5" s="1148" t="s">
        <v>97</v>
      </c>
      <c r="I5" s="1147" t="s">
        <v>841</v>
      </c>
      <c r="J5" s="526"/>
      <c r="K5" s="527"/>
      <c r="M5" s="34"/>
      <c r="N5" s="34"/>
      <c r="O5" s="34"/>
      <c r="P5" s="34"/>
      <c r="Q5" s="34"/>
      <c r="R5" s="34"/>
      <c r="S5" s="34"/>
      <c r="T5" s="34"/>
      <c r="U5" s="34"/>
      <c r="V5" s="34"/>
      <c r="W5" s="34"/>
    </row>
    <row r="6" spans="1:23" x14ac:dyDescent="0.25">
      <c r="A6" s="1177" t="s">
        <v>93</v>
      </c>
      <c r="B6" s="1166" t="s">
        <v>239</v>
      </c>
      <c r="C6" s="1148" t="s">
        <v>181</v>
      </c>
      <c r="D6" s="1147" t="s">
        <v>679</v>
      </c>
      <c r="E6" s="1147" t="s">
        <v>268</v>
      </c>
      <c r="F6" s="1147" t="s">
        <v>248</v>
      </c>
      <c r="G6" s="1148" t="s">
        <v>94</v>
      </c>
      <c r="H6" s="1147" t="s">
        <v>288</v>
      </c>
      <c r="I6" s="1147" t="s">
        <v>857</v>
      </c>
      <c r="J6" s="526"/>
      <c r="K6" s="527"/>
      <c r="M6" s="34"/>
      <c r="N6" s="34"/>
      <c r="O6" s="34"/>
      <c r="P6" s="34"/>
      <c r="Q6" s="34"/>
      <c r="R6" s="34"/>
      <c r="S6" s="34"/>
      <c r="T6" s="34"/>
      <c r="U6" s="34"/>
      <c r="V6" s="34"/>
      <c r="W6" s="34"/>
    </row>
    <row r="7" spans="1:23" ht="15.75" thickBot="1" x14ac:dyDescent="0.3">
      <c r="A7" s="1178" t="s">
        <v>32</v>
      </c>
      <c r="B7" s="1168">
        <v>6</v>
      </c>
      <c r="C7" s="528">
        <v>6</v>
      </c>
      <c r="D7" s="528">
        <v>8</v>
      </c>
      <c r="E7" s="528">
        <v>10</v>
      </c>
      <c r="F7" s="528">
        <v>6</v>
      </c>
      <c r="G7" s="528">
        <v>6</v>
      </c>
      <c r="H7" s="528">
        <v>8</v>
      </c>
      <c r="I7" s="528">
        <v>6</v>
      </c>
      <c r="J7" s="529">
        <v>6</v>
      </c>
      <c r="K7" s="530"/>
      <c r="M7" s="34"/>
      <c r="N7" s="34"/>
      <c r="O7" s="34"/>
      <c r="P7" s="34"/>
      <c r="Q7" s="34"/>
      <c r="R7" s="34"/>
      <c r="S7" s="34"/>
      <c r="T7" s="34"/>
      <c r="U7" s="34"/>
      <c r="V7" s="34"/>
      <c r="W7" s="34"/>
    </row>
    <row r="8" spans="1:23" x14ac:dyDescent="0.25">
      <c r="A8" s="1179" t="s">
        <v>25</v>
      </c>
      <c r="B8" s="1169" t="s">
        <v>169</v>
      </c>
      <c r="C8" s="1156" t="s">
        <v>39</v>
      </c>
      <c r="D8" s="1157" t="s">
        <v>660</v>
      </c>
      <c r="E8" s="1156" t="s">
        <v>38</v>
      </c>
      <c r="F8" s="1156" t="s">
        <v>189</v>
      </c>
      <c r="G8" s="1156" t="s">
        <v>37</v>
      </c>
      <c r="H8" s="1156" t="s">
        <v>120</v>
      </c>
      <c r="I8" s="1158" t="s">
        <v>37</v>
      </c>
      <c r="J8" s="1184" t="str">
        <f>Minions!B2</f>
        <v>Animal Companion</v>
      </c>
      <c r="K8" s="1185" t="str">
        <f>Minions!C2</f>
        <v>Familiar</v>
      </c>
      <c r="M8" s="34"/>
      <c r="N8" s="34"/>
      <c r="O8" s="34"/>
      <c r="P8" s="34"/>
      <c r="Q8" s="34"/>
      <c r="R8" s="34"/>
      <c r="S8" s="34"/>
      <c r="T8" s="34"/>
      <c r="U8" s="34"/>
      <c r="V8" s="34"/>
      <c r="W8" s="34"/>
    </row>
    <row r="9" spans="1:23" x14ac:dyDescent="0.25">
      <c r="A9" s="1177" t="s">
        <v>102</v>
      </c>
      <c r="B9" s="1170" t="s">
        <v>152</v>
      </c>
      <c r="C9" s="1151" t="s">
        <v>460</v>
      </c>
      <c r="D9" s="1151" t="s">
        <v>59</v>
      </c>
      <c r="E9" s="1151"/>
      <c r="F9" s="1151" t="s">
        <v>85</v>
      </c>
      <c r="G9" s="1151"/>
      <c r="H9" s="1151"/>
      <c r="I9" s="1152"/>
      <c r="J9" s="526"/>
      <c r="K9" s="527"/>
      <c r="M9" s="34"/>
      <c r="N9" s="34"/>
      <c r="O9" s="34"/>
      <c r="P9" s="34"/>
      <c r="Q9" s="34"/>
      <c r="R9" s="34"/>
      <c r="S9" s="34"/>
      <c r="T9" s="34"/>
      <c r="U9" s="34"/>
      <c r="V9" s="34"/>
      <c r="W9" s="34"/>
    </row>
    <row r="10" spans="1:23" s="144" customFormat="1" x14ac:dyDescent="0.25">
      <c r="A10" s="1180" t="s">
        <v>103</v>
      </c>
      <c r="B10" s="1171" t="s">
        <v>864</v>
      </c>
      <c r="C10" s="1159" t="s">
        <v>261</v>
      </c>
      <c r="D10" s="1159" t="s">
        <v>680</v>
      </c>
      <c r="E10" s="1159" t="s">
        <v>271</v>
      </c>
      <c r="F10" s="1160" t="s">
        <v>264</v>
      </c>
      <c r="G10" s="1161" t="s">
        <v>194</v>
      </c>
      <c r="H10" s="1162"/>
      <c r="I10" s="1163" t="s">
        <v>846</v>
      </c>
      <c r="J10" s="531"/>
      <c r="K10" s="532"/>
    </row>
    <row r="11" spans="1:23" x14ac:dyDescent="0.25">
      <c r="A11" s="1177" t="s">
        <v>79</v>
      </c>
      <c r="B11" s="1172" t="s">
        <v>13</v>
      </c>
      <c r="C11" s="1153" t="s">
        <v>12</v>
      </c>
      <c r="D11" s="1153" t="s">
        <v>14</v>
      </c>
      <c r="E11" s="1153" t="s">
        <v>10</v>
      </c>
      <c r="F11" s="1153" t="s">
        <v>13</v>
      </c>
      <c r="G11" s="1153" t="s">
        <v>14</v>
      </c>
      <c r="H11" s="1153" t="s">
        <v>10</v>
      </c>
      <c r="I11" s="1154" t="s">
        <v>11</v>
      </c>
      <c r="J11" s="533"/>
      <c r="K11" s="534"/>
      <c r="M11" s="34"/>
      <c r="N11" s="34"/>
      <c r="O11" s="34"/>
      <c r="P11" s="34"/>
      <c r="Q11" s="34"/>
      <c r="R11" s="34"/>
      <c r="S11" s="34"/>
      <c r="T11" s="34"/>
      <c r="U11" s="34"/>
      <c r="V11" s="34"/>
      <c r="W11" s="34"/>
    </row>
    <row r="12" spans="1:23" ht="15.75" thickBot="1" x14ac:dyDescent="0.3">
      <c r="A12" s="1178" t="s">
        <v>28</v>
      </c>
      <c r="B12" s="169">
        <v>8</v>
      </c>
      <c r="C12" s="102">
        <v>6</v>
      </c>
      <c r="D12" s="102">
        <v>8</v>
      </c>
      <c r="E12" s="102">
        <v>12</v>
      </c>
      <c r="F12" s="102">
        <v>8</v>
      </c>
      <c r="G12" s="102">
        <v>8</v>
      </c>
      <c r="H12" s="102">
        <v>10</v>
      </c>
      <c r="I12" s="1155">
        <v>8</v>
      </c>
      <c r="J12" s="529">
        <v>6</v>
      </c>
      <c r="K12" s="530"/>
      <c r="M12" s="34"/>
      <c r="N12" s="34"/>
      <c r="O12" s="34"/>
      <c r="P12" s="34"/>
      <c r="Q12" s="34"/>
      <c r="R12" s="34"/>
      <c r="S12" s="34"/>
      <c r="T12" s="34"/>
      <c r="U12" s="34"/>
      <c r="V12" s="34"/>
      <c r="W12" s="34"/>
    </row>
    <row r="13" spans="1:23" ht="15.75" thickBot="1" x14ac:dyDescent="0.3">
      <c r="A13" s="1181" t="s">
        <v>30</v>
      </c>
      <c r="B13" s="1173">
        <v>5</v>
      </c>
      <c r="C13" s="535">
        <v>5</v>
      </c>
      <c r="D13" s="535">
        <v>5</v>
      </c>
      <c r="E13" s="535">
        <v>5</v>
      </c>
      <c r="F13" s="535">
        <v>5</v>
      </c>
      <c r="G13" s="535">
        <v>5</v>
      </c>
      <c r="H13" s="535">
        <v>5</v>
      </c>
      <c r="I13" s="535">
        <v>5</v>
      </c>
      <c r="J13" s="536">
        <f>B13</f>
        <v>5</v>
      </c>
      <c r="K13" s="537">
        <f>C13</f>
        <v>5</v>
      </c>
      <c r="M13" s="34"/>
      <c r="N13" s="34"/>
      <c r="O13" s="34"/>
      <c r="P13" s="34"/>
      <c r="Q13" s="34"/>
      <c r="R13" s="34"/>
      <c r="S13" s="34"/>
      <c r="T13" s="34"/>
      <c r="U13" s="34"/>
      <c r="V13" s="34"/>
      <c r="W13" s="34"/>
    </row>
    <row r="14" spans="1:23" x14ac:dyDescent="0.25">
      <c r="A14" s="1182" t="s">
        <v>27</v>
      </c>
      <c r="B14" s="1174"/>
      <c r="C14" s="538"/>
      <c r="D14" s="538"/>
      <c r="E14" s="538"/>
      <c r="F14" s="538"/>
      <c r="G14" s="538"/>
      <c r="H14" s="538"/>
      <c r="I14" s="538"/>
      <c r="J14" s="539"/>
      <c r="K14" s="540"/>
      <c r="M14" s="34"/>
      <c r="N14" s="34"/>
      <c r="O14" s="34"/>
      <c r="P14" s="34"/>
      <c r="Q14" s="34"/>
      <c r="R14" s="34"/>
      <c r="S14" s="34"/>
      <c r="T14" s="34"/>
      <c r="U14" s="34"/>
      <c r="V14" s="34"/>
      <c r="W14" s="34"/>
    </row>
    <row r="15" spans="1:23" ht="15.75" thickBot="1" x14ac:dyDescent="0.3">
      <c r="A15" s="1177" t="s">
        <v>29</v>
      </c>
      <c r="B15" s="1175"/>
      <c r="C15" s="27"/>
      <c r="D15" s="27"/>
      <c r="E15" s="27"/>
      <c r="F15" s="27"/>
      <c r="G15" s="27"/>
      <c r="H15" s="27"/>
      <c r="I15" s="27"/>
      <c r="J15" s="541"/>
      <c r="K15" s="542"/>
      <c r="M15" s="34"/>
      <c r="N15" s="34"/>
      <c r="O15" s="34"/>
      <c r="P15" s="34"/>
      <c r="Q15" s="34"/>
      <c r="R15" s="34"/>
      <c r="S15" s="34"/>
      <c r="T15" s="34"/>
      <c r="U15" s="34"/>
      <c r="V15" s="34"/>
      <c r="W15" s="34"/>
    </row>
    <row r="16" spans="1:23" ht="15.75" thickBot="1" x14ac:dyDescent="0.3">
      <c r="A16" s="1183" t="s">
        <v>7</v>
      </c>
      <c r="B16" s="1164">
        <f t="shared" ref="B16:I16" si="0">B7+B13*(B12+B2)+B15</f>
        <v>46</v>
      </c>
      <c r="C16" s="33">
        <f t="shared" si="0"/>
        <v>41</v>
      </c>
      <c r="D16" s="33">
        <f t="shared" si="0"/>
        <v>58</v>
      </c>
      <c r="E16" s="33">
        <f t="shared" si="0"/>
        <v>85</v>
      </c>
      <c r="F16" s="33">
        <f t="shared" si="0"/>
        <v>46</v>
      </c>
      <c r="G16" s="33">
        <f t="shared" si="0"/>
        <v>51</v>
      </c>
      <c r="H16" s="33">
        <f t="shared" si="0"/>
        <v>78</v>
      </c>
      <c r="I16" s="33">
        <f t="shared" si="0"/>
        <v>61</v>
      </c>
      <c r="J16" s="524">
        <f>J7+J13*(J12+J2)+J15</f>
        <v>51</v>
      </c>
      <c r="K16" s="525">
        <f>5*K13</f>
        <v>25</v>
      </c>
      <c r="M16" s="34"/>
      <c r="N16" s="34"/>
      <c r="O16" s="34"/>
      <c r="P16" s="34"/>
      <c r="Q16" s="34"/>
      <c r="R16" s="34"/>
      <c r="S16" s="34"/>
      <c r="T16" s="34"/>
      <c r="U16" s="34"/>
      <c r="V16" s="34"/>
      <c r="W16" s="34"/>
    </row>
    <row r="17" spans="1:23" ht="15.75" customHeight="1" x14ac:dyDescent="0.25">
      <c r="A17" s="34"/>
      <c r="B17" s="34"/>
      <c r="C17" s="34"/>
      <c r="D17" s="34"/>
      <c r="E17" s="34"/>
      <c r="F17" s="34"/>
      <c r="G17" s="34"/>
      <c r="H17" s="34"/>
      <c r="I17" s="34"/>
      <c r="J17" s="34"/>
      <c r="K17" s="34"/>
      <c r="M17" s="34"/>
      <c r="N17" s="34"/>
      <c r="O17" s="34"/>
      <c r="P17" s="34"/>
      <c r="Q17" s="34"/>
      <c r="R17" s="34"/>
      <c r="S17" s="34"/>
      <c r="T17" s="34"/>
      <c r="U17" s="34"/>
      <c r="V17" s="34"/>
      <c r="W17" s="34"/>
    </row>
    <row r="18" spans="1:23" ht="15.75" customHeight="1" x14ac:dyDescent="0.25">
      <c r="A18" s="34"/>
      <c r="F18" s="34"/>
      <c r="G18" s="34"/>
      <c r="H18" s="34"/>
      <c r="I18" s="34"/>
      <c r="J18" s="34"/>
      <c r="K18" s="34"/>
      <c r="M18" s="34"/>
      <c r="N18" s="34"/>
      <c r="O18" s="34"/>
      <c r="P18" s="34"/>
      <c r="Q18" s="34"/>
      <c r="R18" s="34"/>
      <c r="S18" s="34"/>
      <c r="T18" s="34"/>
      <c r="U18" s="34"/>
      <c r="V18" s="34"/>
      <c r="W18" s="34"/>
    </row>
    <row r="19" spans="1:23" ht="15.75" customHeight="1" x14ac:dyDescent="0.25">
      <c r="A19" s="34"/>
      <c r="B19" s="34"/>
      <c r="C19" s="34"/>
      <c r="D19" s="34"/>
      <c r="E19" s="34"/>
      <c r="F19" s="34"/>
      <c r="G19" s="34"/>
      <c r="H19" s="34"/>
      <c r="I19" s="34"/>
      <c r="J19" s="34"/>
      <c r="K19" s="34"/>
      <c r="M19" s="34"/>
      <c r="N19" s="34"/>
      <c r="O19" s="34"/>
      <c r="P19" s="34"/>
      <c r="Q19" s="34"/>
      <c r="R19" s="34"/>
      <c r="S19" s="34"/>
      <c r="T19" s="34"/>
      <c r="U19" s="34"/>
      <c r="V19" s="34"/>
      <c r="W19" s="34"/>
    </row>
    <row r="20" spans="1:23" ht="15.75" customHeight="1" x14ac:dyDescent="0.25">
      <c r="A20" s="34"/>
      <c r="B20" s="34"/>
      <c r="C20" s="34"/>
      <c r="D20" s="34"/>
      <c r="E20" s="34"/>
      <c r="F20" s="34"/>
      <c r="G20" s="34"/>
      <c r="H20" s="34"/>
      <c r="I20" s="34"/>
      <c r="J20" s="34"/>
      <c r="K20" s="34"/>
      <c r="M20" s="34"/>
      <c r="N20" s="34"/>
      <c r="O20" s="34"/>
      <c r="P20" s="34"/>
      <c r="Q20" s="34"/>
      <c r="R20" s="34"/>
      <c r="S20" s="34"/>
      <c r="T20" s="34"/>
      <c r="U20" s="34"/>
      <c r="V20" s="34"/>
      <c r="W20" s="34"/>
    </row>
    <row r="21" spans="1:23" ht="15.75" customHeight="1" x14ac:dyDescent="0.25">
      <c r="A21" s="34"/>
      <c r="B21" s="34"/>
      <c r="C21" s="34"/>
      <c r="D21" s="34"/>
      <c r="E21" s="34"/>
      <c r="F21" s="34"/>
      <c r="G21" s="34"/>
      <c r="H21" s="34"/>
      <c r="I21" s="34"/>
      <c r="J21" s="34"/>
      <c r="K21" s="34"/>
      <c r="M21" s="34"/>
      <c r="N21" s="34"/>
      <c r="O21" s="34"/>
      <c r="P21" s="34"/>
      <c r="Q21" s="34"/>
      <c r="R21" s="34"/>
      <c r="S21" s="34"/>
      <c r="T21" s="34"/>
      <c r="U21" s="34"/>
      <c r="V21" s="34"/>
      <c r="W21" s="34"/>
    </row>
    <row r="22" spans="1:23" ht="15.75" customHeight="1" x14ac:dyDescent="0.25">
      <c r="A22" s="34"/>
      <c r="B22" s="34"/>
      <c r="C22" s="34"/>
      <c r="D22" s="34"/>
      <c r="E22" s="34"/>
      <c r="F22" s="34"/>
      <c r="G22" s="34"/>
      <c r="H22" s="34"/>
      <c r="I22" s="34"/>
      <c r="J22" s="34"/>
      <c r="K22" s="34"/>
      <c r="M22" s="34"/>
      <c r="N22" s="34"/>
      <c r="O22" s="34"/>
      <c r="P22" s="34"/>
      <c r="Q22" s="34"/>
      <c r="R22" s="34"/>
      <c r="S22" s="34"/>
      <c r="T22" s="34"/>
      <c r="U22" s="34"/>
      <c r="V22" s="34"/>
      <c r="W22" s="34"/>
    </row>
    <row r="23" spans="1:23" ht="15.75" customHeight="1" x14ac:dyDescent="0.25">
      <c r="A23" s="34"/>
      <c r="B23" s="34"/>
      <c r="C23" s="34"/>
      <c r="D23" s="34"/>
      <c r="E23" s="34"/>
      <c r="F23" s="34"/>
      <c r="G23" s="34"/>
      <c r="H23" s="34"/>
      <c r="I23" s="34"/>
      <c r="J23" s="34"/>
      <c r="K23" s="34"/>
      <c r="M23" s="34"/>
      <c r="N23" s="34"/>
      <c r="O23" s="34"/>
      <c r="P23" s="34"/>
      <c r="Q23" s="34"/>
      <c r="R23" s="34"/>
      <c r="S23" s="34"/>
      <c r="T23" s="34"/>
      <c r="U23" s="34"/>
      <c r="V23" s="34"/>
      <c r="W23" s="34"/>
    </row>
    <row r="24" spans="1:23" ht="15.75" customHeight="1" x14ac:dyDescent="0.25">
      <c r="A24" s="34"/>
      <c r="B24" s="34"/>
      <c r="C24" s="34"/>
      <c r="D24" s="34"/>
      <c r="E24" s="34"/>
      <c r="F24" s="34"/>
      <c r="G24" s="34"/>
      <c r="H24" s="34"/>
      <c r="I24" s="34"/>
      <c r="J24" s="34"/>
      <c r="K24" s="34"/>
      <c r="M24" s="34"/>
      <c r="N24" s="34"/>
      <c r="O24" s="34"/>
      <c r="P24" s="34"/>
      <c r="Q24" s="34"/>
      <c r="R24" s="34"/>
      <c r="S24" s="34"/>
      <c r="T24" s="34"/>
      <c r="U24" s="34"/>
      <c r="V24" s="34"/>
      <c r="W24" s="34"/>
    </row>
    <row r="25" spans="1:23" ht="15.75" customHeight="1" x14ac:dyDescent="0.25">
      <c r="A25" s="34"/>
      <c r="B25" s="34"/>
      <c r="C25" s="34"/>
      <c r="D25" s="34"/>
      <c r="E25" s="34"/>
      <c r="F25" s="34"/>
      <c r="G25" s="34"/>
      <c r="H25" s="34"/>
      <c r="I25" s="34"/>
      <c r="J25" s="34"/>
      <c r="K25" s="34"/>
      <c r="M25" s="34"/>
      <c r="N25" s="34"/>
      <c r="O25" s="34"/>
      <c r="P25" s="34"/>
      <c r="Q25" s="34"/>
      <c r="R25" s="34"/>
      <c r="S25" s="34"/>
      <c r="T25" s="34"/>
      <c r="U25" s="34"/>
      <c r="V25" s="34"/>
      <c r="W25" s="34"/>
    </row>
    <row r="26" spans="1:23" ht="15.75" customHeight="1" x14ac:dyDescent="0.25">
      <c r="A26" s="34"/>
      <c r="B26" s="34"/>
      <c r="C26" s="34"/>
      <c r="D26" s="34"/>
      <c r="E26" s="34"/>
      <c r="F26" s="34"/>
      <c r="G26" s="34"/>
      <c r="H26" s="34"/>
      <c r="I26" s="34"/>
      <c r="J26" s="34"/>
      <c r="K26" s="34"/>
      <c r="M26" s="34"/>
      <c r="N26" s="34"/>
      <c r="O26" s="34"/>
      <c r="P26" s="34"/>
      <c r="Q26" s="34"/>
      <c r="R26" s="34"/>
      <c r="S26" s="34"/>
      <c r="T26" s="34"/>
      <c r="U26" s="34"/>
      <c r="V26" s="34"/>
      <c r="W26" s="34"/>
    </row>
    <row r="27" spans="1:23" ht="15.75" customHeight="1" x14ac:dyDescent="0.25">
      <c r="A27" s="34"/>
      <c r="B27" s="34"/>
      <c r="C27" s="34"/>
      <c r="D27" s="34"/>
      <c r="E27" s="34"/>
      <c r="F27" s="34"/>
      <c r="G27" s="34"/>
      <c r="H27" s="34"/>
      <c r="I27" s="34"/>
      <c r="J27" s="34"/>
      <c r="K27" s="34"/>
      <c r="M27" s="34"/>
      <c r="N27" s="34"/>
      <c r="O27" s="34"/>
      <c r="P27" s="34"/>
      <c r="Q27" s="34"/>
      <c r="R27" s="34"/>
      <c r="S27" s="34"/>
      <c r="T27" s="34"/>
      <c r="U27" s="34"/>
      <c r="V27" s="34"/>
      <c r="W27" s="34"/>
    </row>
    <row r="28" spans="1:23" ht="15.75" customHeight="1" x14ac:dyDescent="0.25">
      <c r="A28" s="34"/>
      <c r="B28" s="34"/>
      <c r="C28" s="34"/>
      <c r="D28" s="34"/>
      <c r="E28" s="34"/>
      <c r="F28" s="34"/>
      <c r="G28" s="34"/>
      <c r="H28" s="34"/>
      <c r="I28" s="34"/>
      <c r="J28" s="34"/>
      <c r="K28" s="34"/>
      <c r="M28" s="34"/>
      <c r="N28" s="34"/>
      <c r="O28" s="34"/>
      <c r="P28" s="34"/>
      <c r="Q28" s="34"/>
      <c r="R28" s="34"/>
      <c r="S28" s="34"/>
      <c r="T28" s="34"/>
      <c r="U28" s="34"/>
      <c r="V28" s="34"/>
      <c r="W28" s="34"/>
    </row>
    <row r="29" spans="1:23" ht="15.75" customHeight="1" x14ac:dyDescent="0.25">
      <c r="A29" s="34"/>
      <c r="B29" s="34"/>
      <c r="C29" s="34"/>
      <c r="D29" s="34"/>
      <c r="E29" s="34"/>
      <c r="F29" s="34"/>
      <c r="G29" s="34"/>
      <c r="H29" s="34"/>
      <c r="I29" s="34"/>
      <c r="J29" s="34"/>
      <c r="K29" s="34"/>
      <c r="M29" s="34"/>
      <c r="N29" s="34"/>
      <c r="O29" s="34"/>
      <c r="P29" s="34"/>
      <c r="Q29" s="34"/>
      <c r="R29" s="34"/>
      <c r="S29" s="34"/>
      <c r="T29" s="34"/>
      <c r="U29" s="34"/>
      <c r="V29" s="34"/>
      <c r="W29" s="34"/>
    </row>
    <row r="30" spans="1:23" ht="15.75" customHeight="1" x14ac:dyDescent="0.25">
      <c r="A30" s="34"/>
      <c r="B30" s="34"/>
      <c r="C30" s="34"/>
      <c r="D30" s="34"/>
      <c r="E30" s="34"/>
      <c r="F30" s="34"/>
      <c r="G30" s="34"/>
      <c r="H30" s="34"/>
      <c r="I30" s="34"/>
      <c r="J30" s="34"/>
      <c r="K30" s="34"/>
      <c r="M30" s="34"/>
      <c r="N30" s="34"/>
      <c r="O30" s="34"/>
      <c r="P30" s="34"/>
      <c r="Q30" s="34"/>
      <c r="R30" s="34"/>
      <c r="S30" s="34"/>
      <c r="T30" s="34"/>
      <c r="U30" s="34"/>
      <c r="V30" s="34"/>
      <c r="W30" s="34"/>
    </row>
    <row r="31" spans="1:23" ht="15.75" customHeight="1" x14ac:dyDescent="0.25">
      <c r="A31" s="34"/>
      <c r="B31" s="34"/>
      <c r="C31" s="34"/>
      <c r="D31" s="34"/>
      <c r="E31" s="34"/>
      <c r="F31" s="34"/>
      <c r="G31" s="34"/>
      <c r="H31" s="34"/>
      <c r="I31" s="34"/>
      <c r="J31" s="34"/>
      <c r="K31" s="34"/>
      <c r="M31" s="34"/>
      <c r="N31" s="34"/>
      <c r="O31" s="34"/>
      <c r="P31" s="34"/>
      <c r="Q31" s="34"/>
      <c r="R31" s="34"/>
      <c r="S31" s="34"/>
      <c r="T31" s="34"/>
      <c r="U31" s="34"/>
      <c r="V31" s="34"/>
      <c r="W31" s="34"/>
    </row>
    <row r="32" spans="1:23" ht="15.75" customHeight="1" x14ac:dyDescent="0.25">
      <c r="A32" s="34"/>
      <c r="B32" s="34"/>
      <c r="C32" s="34"/>
      <c r="D32" s="34"/>
      <c r="E32" s="34"/>
      <c r="F32" s="34"/>
      <c r="G32" s="34"/>
      <c r="H32" s="34"/>
      <c r="I32" s="34"/>
      <c r="J32" s="34"/>
      <c r="K32" s="34"/>
      <c r="M32" s="34"/>
      <c r="N32" s="34"/>
      <c r="O32" s="34"/>
      <c r="P32" s="34"/>
      <c r="Q32" s="34"/>
      <c r="R32" s="34"/>
      <c r="S32" s="34"/>
      <c r="T32" s="34"/>
      <c r="U32" s="34"/>
      <c r="V32" s="34"/>
      <c r="W32" s="34"/>
    </row>
    <row r="33" spans="1:23" ht="15.75" customHeight="1" x14ac:dyDescent="0.25">
      <c r="A33" s="34"/>
      <c r="B33" s="34"/>
      <c r="C33" s="34"/>
      <c r="D33" s="34"/>
      <c r="E33" s="34"/>
      <c r="F33" s="34"/>
      <c r="G33" s="34"/>
      <c r="H33" s="34"/>
      <c r="I33" s="34"/>
      <c r="J33" s="34"/>
      <c r="K33" s="34"/>
      <c r="M33" s="34"/>
      <c r="N33" s="34"/>
      <c r="O33" s="34"/>
      <c r="P33" s="34"/>
      <c r="Q33" s="34"/>
      <c r="R33" s="34"/>
      <c r="S33" s="34"/>
      <c r="T33" s="34"/>
      <c r="U33" s="34"/>
      <c r="V33" s="34"/>
      <c r="W33" s="34"/>
    </row>
    <row r="34" spans="1:23" ht="15.75" customHeight="1" x14ac:dyDescent="0.25">
      <c r="A34" s="34"/>
      <c r="B34" s="34"/>
      <c r="C34" s="34"/>
      <c r="D34" s="34"/>
      <c r="E34" s="34"/>
      <c r="F34" s="34"/>
      <c r="G34" s="34"/>
      <c r="H34" s="34"/>
      <c r="I34" s="34"/>
      <c r="J34" s="34"/>
      <c r="K34" s="34"/>
      <c r="M34" s="34"/>
      <c r="N34" s="34"/>
      <c r="O34" s="34"/>
      <c r="P34" s="34"/>
      <c r="Q34" s="34"/>
      <c r="R34" s="34"/>
      <c r="S34" s="34"/>
      <c r="T34" s="34"/>
      <c r="U34" s="34"/>
      <c r="V34" s="34"/>
      <c r="W34" s="34"/>
    </row>
    <row r="35" spans="1:23" ht="15.75" customHeight="1" x14ac:dyDescent="0.25">
      <c r="A35" s="34"/>
      <c r="B35" s="34"/>
      <c r="C35" s="34"/>
      <c r="D35" s="34"/>
      <c r="E35" s="34"/>
      <c r="F35" s="34"/>
      <c r="G35" s="34"/>
      <c r="H35" s="34"/>
      <c r="I35" s="34"/>
      <c r="J35" s="34"/>
      <c r="K35" s="34"/>
      <c r="M35" s="34"/>
      <c r="N35" s="34"/>
      <c r="O35" s="34"/>
      <c r="P35" s="34"/>
      <c r="Q35" s="34"/>
      <c r="R35" s="34"/>
      <c r="S35" s="34"/>
      <c r="T35" s="34"/>
      <c r="U35" s="34"/>
      <c r="V35" s="34"/>
      <c r="W35" s="34"/>
    </row>
    <row r="36" spans="1:23" ht="15.75" customHeight="1" x14ac:dyDescent="0.25">
      <c r="A36" s="34"/>
      <c r="B36" s="34"/>
      <c r="C36" s="34"/>
      <c r="D36" s="34"/>
      <c r="E36" s="34"/>
      <c r="F36" s="34"/>
      <c r="G36" s="34"/>
      <c r="H36" s="34"/>
      <c r="I36" s="34"/>
      <c r="J36" s="34"/>
      <c r="K36" s="34"/>
      <c r="M36" s="34"/>
      <c r="N36" s="34"/>
      <c r="O36" s="34"/>
      <c r="P36" s="34"/>
      <c r="Q36" s="34"/>
      <c r="R36" s="34"/>
      <c r="S36" s="34"/>
      <c r="T36" s="34"/>
      <c r="U36" s="34"/>
      <c r="V36" s="34"/>
      <c r="W36" s="34"/>
    </row>
    <row r="37" spans="1:23" ht="15.75" customHeight="1" x14ac:dyDescent="0.25">
      <c r="A37" s="34"/>
      <c r="B37" s="34"/>
      <c r="C37" s="34"/>
      <c r="D37" s="34"/>
      <c r="E37" s="34"/>
      <c r="F37" s="34"/>
      <c r="G37" s="34"/>
      <c r="H37" s="34"/>
      <c r="I37" s="34"/>
      <c r="J37" s="34"/>
      <c r="K37" s="34"/>
      <c r="M37" s="34"/>
      <c r="N37" s="34"/>
      <c r="O37" s="34"/>
      <c r="P37" s="34"/>
      <c r="Q37" s="34"/>
      <c r="R37" s="34"/>
      <c r="S37" s="34"/>
      <c r="T37" s="34"/>
      <c r="U37" s="34"/>
      <c r="V37" s="34"/>
      <c r="W37" s="34"/>
    </row>
    <row r="38" spans="1:23" ht="15.75" customHeight="1" x14ac:dyDescent="0.25">
      <c r="A38" s="34"/>
      <c r="B38" s="34"/>
      <c r="C38" s="34"/>
      <c r="D38" s="34"/>
      <c r="E38" s="34"/>
      <c r="F38" s="34"/>
      <c r="G38" s="34"/>
      <c r="H38" s="34"/>
      <c r="I38" s="34"/>
      <c r="J38" s="34"/>
      <c r="K38" s="34"/>
      <c r="M38" s="34"/>
      <c r="N38" s="34"/>
      <c r="O38" s="34"/>
      <c r="P38" s="34"/>
      <c r="Q38" s="34"/>
      <c r="R38" s="34"/>
      <c r="S38" s="34"/>
      <c r="T38" s="34"/>
      <c r="U38" s="34"/>
      <c r="V38" s="34"/>
      <c r="W38" s="34"/>
    </row>
    <row r="39" spans="1:23" ht="15.75" customHeight="1" x14ac:dyDescent="0.25">
      <c r="A39" s="34"/>
      <c r="B39" s="34"/>
      <c r="C39" s="34"/>
      <c r="D39" s="34"/>
      <c r="E39" s="34"/>
      <c r="F39" s="34"/>
      <c r="G39" s="34"/>
      <c r="H39" s="34"/>
      <c r="I39" s="34"/>
      <c r="J39" s="34"/>
      <c r="K39" s="34"/>
      <c r="M39" s="34"/>
      <c r="N39" s="34"/>
      <c r="O39" s="34"/>
      <c r="P39" s="34"/>
      <c r="Q39" s="34"/>
      <c r="R39" s="34"/>
      <c r="S39" s="34"/>
      <c r="T39" s="34"/>
      <c r="U39" s="34"/>
      <c r="V39" s="34"/>
      <c r="W39" s="34"/>
    </row>
    <row r="40" spans="1:23" ht="15.75" customHeight="1" x14ac:dyDescent="0.25">
      <c r="A40" s="34"/>
      <c r="B40" s="34"/>
      <c r="C40" s="34"/>
      <c r="D40" s="34"/>
      <c r="E40" s="34"/>
      <c r="F40" s="34"/>
      <c r="G40" s="34"/>
      <c r="H40" s="34"/>
      <c r="I40" s="34"/>
      <c r="J40" s="34"/>
      <c r="K40" s="34"/>
      <c r="M40" s="34"/>
      <c r="N40" s="34"/>
      <c r="O40" s="34"/>
      <c r="P40" s="34"/>
      <c r="Q40" s="34"/>
      <c r="R40" s="34"/>
      <c r="S40" s="34"/>
      <c r="T40" s="34"/>
      <c r="U40" s="34"/>
      <c r="V40" s="34"/>
      <c r="W40" s="34"/>
    </row>
    <row r="41" spans="1:23" ht="15.75" customHeight="1" x14ac:dyDescent="0.25">
      <c r="A41" s="34"/>
      <c r="B41" s="34"/>
      <c r="C41" s="34"/>
      <c r="D41" s="34"/>
      <c r="E41" s="34"/>
      <c r="F41" s="34"/>
      <c r="G41" s="34"/>
      <c r="H41" s="34"/>
      <c r="I41" s="34"/>
      <c r="J41" s="34"/>
      <c r="K41" s="34"/>
      <c r="M41" s="34"/>
      <c r="N41" s="34"/>
      <c r="O41" s="34"/>
      <c r="P41" s="34"/>
      <c r="Q41" s="34"/>
      <c r="R41" s="34"/>
      <c r="S41" s="34"/>
      <c r="T41" s="34"/>
      <c r="U41" s="34"/>
      <c r="V41" s="34"/>
      <c r="W41" s="34"/>
    </row>
    <row r="42" spans="1:23" ht="15.75" customHeight="1" x14ac:dyDescent="0.25">
      <c r="A42" s="34"/>
      <c r="B42" s="34"/>
      <c r="C42" s="34"/>
      <c r="D42" s="34"/>
      <c r="E42" s="34"/>
      <c r="F42" s="34"/>
      <c r="G42" s="34"/>
      <c r="H42" s="34"/>
      <c r="I42" s="34"/>
      <c r="J42" s="34"/>
      <c r="K42" s="34"/>
      <c r="M42" s="34"/>
      <c r="N42" s="34"/>
      <c r="O42" s="34"/>
      <c r="P42" s="34"/>
      <c r="Q42" s="34"/>
      <c r="R42" s="34"/>
      <c r="S42" s="34"/>
      <c r="T42" s="34"/>
      <c r="U42" s="34"/>
      <c r="V42" s="34"/>
      <c r="W42" s="34"/>
    </row>
    <row r="43" spans="1:23" ht="15.75" customHeight="1" x14ac:dyDescent="0.25">
      <c r="A43" s="34"/>
      <c r="B43" s="34"/>
      <c r="C43" s="34"/>
      <c r="D43" s="34"/>
      <c r="E43" s="34"/>
      <c r="F43" s="34"/>
      <c r="G43" s="34"/>
      <c r="H43" s="34"/>
      <c r="I43" s="34"/>
      <c r="J43" s="34"/>
      <c r="K43" s="34"/>
      <c r="M43" s="34"/>
      <c r="N43" s="34"/>
      <c r="O43" s="34"/>
      <c r="P43" s="34"/>
      <c r="Q43" s="34"/>
      <c r="R43" s="34"/>
      <c r="S43" s="34"/>
      <c r="T43" s="34"/>
      <c r="U43" s="34"/>
      <c r="V43" s="34"/>
      <c r="W43" s="34"/>
    </row>
    <row r="44" spans="1:23" ht="15.75" customHeight="1" x14ac:dyDescent="0.25">
      <c r="A44" s="34"/>
      <c r="B44" s="34"/>
      <c r="C44" s="34"/>
      <c r="D44" s="34"/>
      <c r="E44" s="34"/>
      <c r="F44" s="34"/>
      <c r="G44" s="34"/>
      <c r="H44" s="34"/>
      <c r="I44" s="34"/>
      <c r="J44" s="34"/>
      <c r="K44" s="34"/>
      <c r="M44" s="34"/>
      <c r="N44" s="34"/>
      <c r="O44" s="34"/>
      <c r="P44" s="34"/>
      <c r="Q44" s="34"/>
      <c r="R44" s="34"/>
      <c r="S44" s="34"/>
      <c r="T44" s="34"/>
      <c r="U44" s="34"/>
      <c r="V44" s="34"/>
      <c r="W44" s="34"/>
    </row>
    <row r="45" spans="1:23" ht="15.75" customHeight="1" x14ac:dyDescent="0.25">
      <c r="A45" s="34"/>
      <c r="B45" s="34"/>
      <c r="C45" s="34"/>
      <c r="D45" s="34"/>
      <c r="E45" s="34"/>
      <c r="F45" s="34"/>
      <c r="G45" s="34"/>
      <c r="H45" s="34"/>
      <c r="I45" s="34"/>
      <c r="J45" s="34"/>
      <c r="K45" s="34"/>
      <c r="M45" s="34"/>
      <c r="N45" s="34"/>
      <c r="O45" s="34"/>
      <c r="P45" s="34"/>
      <c r="Q45" s="34"/>
      <c r="R45" s="34"/>
      <c r="S45" s="34"/>
      <c r="T45" s="34"/>
      <c r="U45" s="34"/>
      <c r="V45" s="34"/>
      <c r="W45" s="34"/>
    </row>
    <row r="46" spans="1:23" ht="15.75" customHeight="1" x14ac:dyDescent="0.25">
      <c r="A46" s="34"/>
      <c r="B46" s="34"/>
      <c r="C46" s="34"/>
      <c r="D46" s="34"/>
      <c r="E46" s="34"/>
      <c r="F46" s="34"/>
      <c r="G46" s="34"/>
      <c r="H46" s="34"/>
      <c r="I46" s="34"/>
      <c r="J46" s="34"/>
      <c r="K46" s="34"/>
      <c r="M46" s="34"/>
      <c r="N46" s="34"/>
      <c r="O46" s="34"/>
      <c r="P46" s="34"/>
      <c r="Q46" s="34"/>
      <c r="R46" s="34"/>
      <c r="S46" s="34"/>
      <c r="T46" s="34"/>
      <c r="U46" s="34"/>
      <c r="V46" s="34"/>
      <c r="W46" s="34"/>
    </row>
    <row r="47" spans="1:23" ht="15.75" customHeight="1" x14ac:dyDescent="0.25">
      <c r="A47" s="34"/>
      <c r="B47" s="34"/>
      <c r="C47" s="34"/>
      <c r="D47" s="34"/>
      <c r="E47" s="34"/>
      <c r="F47" s="34"/>
      <c r="G47" s="34"/>
      <c r="H47" s="34"/>
      <c r="I47" s="34"/>
      <c r="J47" s="34"/>
      <c r="K47" s="34"/>
      <c r="M47" s="34"/>
      <c r="N47" s="34"/>
      <c r="O47" s="34"/>
      <c r="P47" s="34"/>
      <c r="Q47" s="34"/>
      <c r="R47" s="34"/>
      <c r="S47" s="34"/>
      <c r="T47" s="34"/>
      <c r="U47" s="34"/>
      <c r="V47" s="34"/>
      <c r="W47" s="34"/>
    </row>
    <row r="48" spans="1:23" ht="15.75" customHeight="1" x14ac:dyDescent="0.25">
      <c r="A48" s="34"/>
      <c r="B48" s="34"/>
      <c r="C48" s="34"/>
      <c r="D48" s="34"/>
      <c r="E48" s="34"/>
      <c r="F48" s="34"/>
      <c r="G48" s="34"/>
      <c r="H48" s="34"/>
      <c r="I48" s="34"/>
      <c r="J48" s="34"/>
      <c r="K48" s="34"/>
      <c r="M48" s="34"/>
      <c r="N48" s="34"/>
      <c r="O48" s="34"/>
      <c r="P48" s="34"/>
      <c r="Q48" s="34"/>
      <c r="R48" s="34"/>
      <c r="S48" s="34"/>
      <c r="T48" s="34"/>
      <c r="U48" s="34"/>
      <c r="V48" s="34"/>
      <c r="W48" s="34"/>
    </row>
    <row r="49" spans="1:23" ht="15.75" customHeight="1" x14ac:dyDescent="0.25">
      <c r="A49" s="34"/>
      <c r="B49" s="34"/>
      <c r="C49" s="34"/>
      <c r="D49" s="34"/>
      <c r="E49" s="34"/>
      <c r="F49" s="34"/>
      <c r="G49" s="34"/>
      <c r="H49" s="34"/>
      <c r="I49" s="34"/>
      <c r="J49" s="34"/>
      <c r="K49" s="34"/>
      <c r="M49" s="34"/>
      <c r="N49" s="34"/>
      <c r="O49" s="34"/>
      <c r="P49" s="34"/>
      <c r="Q49" s="34"/>
      <c r="R49" s="34"/>
      <c r="S49" s="34"/>
      <c r="T49" s="34"/>
      <c r="U49" s="34"/>
      <c r="V49" s="34"/>
      <c r="W49" s="34"/>
    </row>
    <row r="50" spans="1:23" ht="15.75" customHeight="1" x14ac:dyDescent="0.25">
      <c r="A50" s="34"/>
      <c r="B50" s="34"/>
      <c r="C50" s="34"/>
      <c r="D50" s="34"/>
      <c r="E50" s="34"/>
      <c r="F50" s="34"/>
      <c r="G50" s="34"/>
      <c r="H50" s="34"/>
      <c r="I50" s="34"/>
      <c r="J50" s="34"/>
      <c r="K50" s="34"/>
      <c r="M50" s="34"/>
      <c r="N50" s="34"/>
      <c r="O50" s="34"/>
      <c r="P50" s="34"/>
      <c r="Q50" s="34"/>
      <c r="R50" s="34"/>
      <c r="S50" s="34"/>
      <c r="T50" s="34"/>
      <c r="U50" s="34"/>
      <c r="V50" s="34"/>
      <c r="W50" s="34"/>
    </row>
    <row r="51" spans="1:23" ht="15.75" customHeight="1" x14ac:dyDescent="0.25">
      <c r="A51" s="34"/>
      <c r="B51" s="34"/>
      <c r="C51" s="34"/>
      <c r="D51" s="34"/>
      <c r="E51" s="34"/>
      <c r="F51" s="34"/>
      <c r="G51" s="34"/>
      <c r="H51" s="34"/>
      <c r="I51" s="34"/>
      <c r="J51" s="34"/>
      <c r="K51" s="34"/>
      <c r="M51" s="34"/>
      <c r="N51" s="34"/>
      <c r="O51" s="34"/>
      <c r="P51" s="34"/>
      <c r="Q51" s="34"/>
      <c r="R51" s="34"/>
      <c r="S51" s="34"/>
      <c r="T51" s="34"/>
      <c r="U51" s="34"/>
      <c r="V51" s="34"/>
      <c r="W51" s="34"/>
    </row>
    <row r="52" spans="1:23" ht="15.75" customHeight="1" x14ac:dyDescent="0.25">
      <c r="A52" s="34"/>
      <c r="B52" s="34"/>
      <c r="C52" s="34"/>
      <c r="D52" s="34"/>
      <c r="E52" s="34"/>
      <c r="F52" s="34"/>
      <c r="G52" s="34"/>
      <c r="H52" s="34"/>
      <c r="I52" s="34"/>
      <c r="J52" s="34"/>
      <c r="K52" s="34"/>
      <c r="M52" s="34"/>
      <c r="N52" s="34"/>
      <c r="O52" s="34"/>
      <c r="P52" s="34"/>
      <c r="Q52" s="34"/>
      <c r="R52" s="34"/>
      <c r="S52" s="34"/>
      <c r="T52" s="34"/>
      <c r="U52" s="34"/>
      <c r="V52" s="34"/>
      <c r="W52" s="34"/>
    </row>
    <row r="53" spans="1:23" ht="15.75" customHeight="1" x14ac:dyDescent="0.25">
      <c r="A53" s="34"/>
      <c r="B53" s="34"/>
      <c r="C53" s="34"/>
      <c r="D53" s="34"/>
      <c r="E53" s="34"/>
      <c r="F53" s="34"/>
      <c r="G53" s="34"/>
      <c r="H53" s="34"/>
      <c r="I53" s="34"/>
      <c r="J53" s="34"/>
      <c r="K53" s="34"/>
      <c r="M53" s="34"/>
      <c r="N53" s="34"/>
      <c r="O53" s="34"/>
      <c r="P53" s="34"/>
      <c r="Q53" s="34"/>
      <c r="R53" s="34"/>
      <c r="S53" s="34"/>
      <c r="T53" s="34"/>
      <c r="U53" s="34"/>
      <c r="V53" s="34"/>
      <c r="W53" s="34"/>
    </row>
    <row r="54" spans="1:23" ht="15.75" customHeight="1" x14ac:dyDescent="0.25">
      <c r="A54" s="34"/>
      <c r="B54" s="34"/>
      <c r="C54" s="34"/>
      <c r="D54" s="34"/>
      <c r="E54" s="34"/>
      <c r="F54" s="34"/>
      <c r="G54" s="34"/>
      <c r="H54" s="34"/>
      <c r="I54" s="34"/>
      <c r="J54" s="34"/>
      <c r="K54" s="34"/>
      <c r="M54" s="34"/>
      <c r="N54" s="34"/>
      <c r="O54" s="34"/>
      <c r="P54" s="34"/>
      <c r="Q54" s="34"/>
      <c r="R54" s="34"/>
      <c r="S54" s="34"/>
      <c r="T54" s="34"/>
      <c r="U54" s="34"/>
      <c r="V54" s="34"/>
      <c r="W54" s="34"/>
    </row>
    <row r="55" spans="1:23" ht="15.75" customHeight="1" x14ac:dyDescent="0.25">
      <c r="A55" s="34"/>
      <c r="B55" s="34"/>
      <c r="C55" s="34"/>
      <c r="D55" s="34"/>
      <c r="E55" s="34"/>
      <c r="F55" s="34"/>
      <c r="G55" s="34"/>
      <c r="H55" s="34"/>
      <c r="I55" s="34"/>
      <c r="J55" s="34"/>
      <c r="K55" s="34"/>
      <c r="M55" s="34"/>
      <c r="N55" s="34"/>
      <c r="O55" s="34"/>
      <c r="P55" s="34"/>
      <c r="Q55" s="34"/>
      <c r="R55" s="34"/>
      <c r="S55" s="34"/>
      <c r="T55" s="34"/>
      <c r="U55" s="34"/>
      <c r="V55" s="34"/>
      <c r="W55" s="34"/>
    </row>
    <row r="56" spans="1:23" ht="15.75" customHeight="1" x14ac:dyDescent="0.25">
      <c r="A56" s="34"/>
      <c r="B56" s="34"/>
      <c r="C56" s="34"/>
      <c r="D56" s="34"/>
      <c r="E56" s="34"/>
      <c r="F56" s="34"/>
      <c r="G56" s="34"/>
      <c r="H56" s="34"/>
      <c r="I56" s="34"/>
      <c r="J56" s="34"/>
      <c r="K56" s="34"/>
      <c r="M56" s="34"/>
      <c r="N56" s="34"/>
      <c r="O56" s="34"/>
      <c r="P56" s="34"/>
      <c r="Q56" s="34"/>
      <c r="R56" s="34"/>
      <c r="S56" s="34"/>
      <c r="T56" s="34"/>
      <c r="U56" s="34"/>
      <c r="V56" s="34"/>
      <c r="W56" s="34"/>
    </row>
    <row r="57" spans="1:23" ht="15.75" customHeight="1" x14ac:dyDescent="0.25">
      <c r="A57" s="34"/>
      <c r="B57" s="34"/>
      <c r="C57" s="34"/>
      <c r="D57" s="34"/>
      <c r="E57" s="34"/>
      <c r="F57" s="34"/>
      <c r="G57" s="34"/>
      <c r="H57" s="34"/>
      <c r="I57" s="34"/>
      <c r="J57" s="34"/>
      <c r="K57" s="34"/>
      <c r="M57" s="34"/>
      <c r="N57" s="34"/>
      <c r="O57" s="34"/>
      <c r="P57" s="34"/>
      <c r="Q57" s="34"/>
      <c r="R57" s="34"/>
      <c r="S57" s="34"/>
      <c r="T57" s="34"/>
      <c r="U57" s="34"/>
      <c r="V57" s="34"/>
      <c r="W57" s="34"/>
    </row>
    <row r="58" spans="1:23" ht="15.75" customHeight="1" x14ac:dyDescent="0.25">
      <c r="A58" s="34"/>
      <c r="B58" s="34"/>
      <c r="C58" s="34"/>
      <c r="D58" s="34"/>
      <c r="E58" s="34"/>
      <c r="F58" s="34"/>
      <c r="G58" s="34"/>
      <c r="H58" s="34"/>
      <c r="I58" s="34"/>
      <c r="J58" s="34"/>
      <c r="K58" s="34"/>
      <c r="M58" s="34"/>
      <c r="N58" s="34"/>
      <c r="O58" s="34"/>
      <c r="P58" s="34"/>
      <c r="Q58" s="34"/>
      <c r="R58" s="34"/>
      <c r="S58" s="34"/>
      <c r="T58" s="34"/>
      <c r="U58" s="34"/>
      <c r="V58" s="34"/>
      <c r="W58" s="34"/>
    </row>
    <row r="59" spans="1:23" ht="15.75" customHeight="1" x14ac:dyDescent="0.25">
      <c r="A59" s="34"/>
      <c r="B59" s="34"/>
      <c r="C59" s="34"/>
      <c r="D59" s="34"/>
      <c r="E59" s="34"/>
      <c r="F59" s="34"/>
      <c r="G59" s="34"/>
      <c r="H59" s="34"/>
      <c r="I59" s="34"/>
      <c r="J59" s="34"/>
      <c r="K59" s="34"/>
      <c r="M59" s="34"/>
      <c r="N59" s="34"/>
      <c r="O59" s="34"/>
      <c r="P59" s="34"/>
      <c r="Q59" s="34"/>
      <c r="R59" s="34"/>
      <c r="S59" s="34"/>
      <c r="T59" s="34"/>
      <c r="U59" s="34"/>
      <c r="V59" s="34"/>
      <c r="W59" s="34"/>
    </row>
    <row r="60" spans="1:23" ht="15.75" customHeight="1" x14ac:dyDescent="0.25">
      <c r="A60" s="34"/>
      <c r="B60" s="34"/>
      <c r="C60" s="34"/>
      <c r="D60" s="34"/>
      <c r="E60" s="34"/>
      <c r="F60" s="34"/>
      <c r="G60" s="34"/>
      <c r="H60" s="34"/>
      <c r="I60" s="34"/>
      <c r="J60" s="34"/>
      <c r="K60" s="34"/>
      <c r="M60" s="34"/>
      <c r="N60" s="34"/>
      <c r="O60" s="34"/>
      <c r="P60" s="34"/>
      <c r="Q60" s="34"/>
      <c r="R60" s="34"/>
      <c r="S60" s="34"/>
      <c r="T60" s="34"/>
      <c r="U60" s="34"/>
      <c r="V60" s="34"/>
      <c r="W60" s="34"/>
    </row>
    <row r="61" spans="1:23" ht="15.75" customHeight="1" x14ac:dyDescent="0.25">
      <c r="A61" s="34"/>
      <c r="B61" s="34"/>
      <c r="C61" s="34"/>
      <c r="D61" s="34"/>
      <c r="E61" s="34"/>
      <c r="F61" s="34"/>
      <c r="G61" s="34"/>
      <c r="H61" s="34"/>
      <c r="I61" s="34"/>
      <c r="J61" s="34"/>
      <c r="K61" s="34"/>
      <c r="M61" s="34"/>
      <c r="N61" s="34"/>
      <c r="O61" s="34"/>
      <c r="P61" s="34"/>
      <c r="Q61" s="34"/>
      <c r="R61" s="34"/>
      <c r="S61" s="34"/>
      <c r="T61" s="34"/>
      <c r="U61" s="34"/>
      <c r="V61" s="34"/>
      <c r="W61" s="34"/>
    </row>
    <row r="62" spans="1:23" ht="15.75" customHeight="1" x14ac:dyDescent="0.25">
      <c r="A62" s="34"/>
      <c r="B62" s="34"/>
      <c r="C62" s="34"/>
      <c r="D62" s="34"/>
      <c r="E62" s="34"/>
      <c r="F62" s="34"/>
      <c r="G62" s="34"/>
      <c r="H62" s="34"/>
      <c r="I62" s="34"/>
      <c r="J62" s="34"/>
      <c r="K62" s="34"/>
      <c r="M62" s="34"/>
      <c r="N62" s="34"/>
      <c r="O62" s="34"/>
      <c r="P62" s="34"/>
      <c r="Q62" s="34"/>
      <c r="R62" s="34"/>
      <c r="S62" s="34"/>
      <c r="T62" s="34"/>
      <c r="U62" s="34"/>
      <c r="V62" s="34"/>
      <c r="W62" s="34"/>
    </row>
    <row r="63" spans="1:23" ht="15.75" customHeight="1" x14ac:dyDescent="0.25">
      <c r="A63" s="34"/>
      <c r="B63" s="34"/>
      <c r="C63" s="34"/>
      <c r="D63" s="34"/>
      <c r="E63" s="34"/>
      <c r="F63" s="34"/>
      <c r="G63" s="34"/>
      <c r="H63" s="34"/>
      <c r="I63" s="34"/>
      <c r="J63" s="34"/>
      <c r="K63" s="34"/>
      <c r="M63" s="34"/>
      <c r="N63" s="34"/>
      <c r="O63" s="34"/>
      <c r="P63" s="34"/>
      <c r="Q63" s="34"/>
      <c r="R63" s="34"/>
      <c r="S63" s="34"/>
      <c r="T63" s="34"/>
      <c r="U63" s="34"/>
      <c r="V63" s="34"/>
      <c r="W63" s="34"/>
    </row>
    <row r="64" spans="1:23" ht="15.75" customHeight="1" x14ac:dyDescent="0.25">
      <c r="A64" s="34"/>
      <c r="B64" s="34"/>
      <c r="C64" s="34"/>
      <c r="D64" s="34"/>
      <c r="E64" s="34"/>
      <c r="F64" s="34"/>
      <c r="G64" s="34"/>
      <c r="H64" s="34"/>
      <c r="I64" s="34"/>
      <c r="J64" s="34"/>
      <c r="K64" s="34"/>
      <c r="M64" s="34"/>
      <c r="N64" s="34"/>
      <c r="O64" s="34"/>
      <c r="P64" s="34"/>
      <c r="Q64" s="34"/>
      <c r="R64" s="34"/>
      <c r="S64" s="34"/>
      <c r="T64" s="34"/>
      <c r="U64" s="34"/>
      <c r="V64" s="34"/>
      <c r="W64" s="34"/>
    </row>
    <row r="65" spans="1:23" ht="15.75" customHeight="1" x14ac:dyDescent="0.25">
      <c r="A65" s="34"/>
      <c r="B65" s="34"/>
      <c r="C65" s="34"/>
      <c r="D65" s="34"/>
      <c r="E65" s="34"/>
      <c r="F65" s="34"/>
      <c r="G65" s="34"/>
      <c r="H65" s="34"/>
      <c r="I65" s="34"/>
      <c r="J65" s="34"/>
      <c r="K65" s="34"/>
      <c r="M65" s="34"/>
      <c r="N65" s="34"/>
      <c r="O65" s="34"/>
      <c r="P65" s="34"/>
      <c r="Q65" s="34"/>
      <c r="R65" s="34"/>
      <c r="S65" s="34"/>
      <c r="T65" s="34"/>
      <c r="U65" s="34"/>
      <c r="V65" s="34"/>
      <c r="W65" s="34"/>
    </row>
    <row r="66" spans="1:23" ht="15.75" customHeight="1" x14ac:dyDescent="0.25">
      <c r="A66" s="34"/>
      <c r="B66" s="34"/>
      <c r="C66" s="34"/>
      <c r="D66" s="34"/>
      <c r="E66" s="34"/>
      <c r="F66" s="34"/>
      <c r="G66" s="34"/>
      <c r="H66" s="34"/>
      <c r="I66" s="34"/>
      <c r="J66" s="34"/>
      <c r="K66" s="34"/>
      <c r="M66" s="34"/>
      <c r="N66" s="34"/>
      <c r="O66" s="34"/>
      <c r="P66" s="34"/>
      <c r="Q66" s="34"/>
      <c r="R66" s="34"/>
      <c r="S66" s="34"/>
      <c r="T66" s="34"/>
      <c r="U66" s="34"/>
      <c r="V66" s="34"/>
      <c r="W66" s="34"/>
    </row>
    <row r="67" spans="1:23" ht="15.75" customHeight="1" x14ac:dyDescent="0.25">
      <c r="A67" s="34"/>
      <c r="B67" s="34"/>
      <c r="C67" s="34"/>
      <c r="D67" s="34"/>
      <c r="E67" s="34"/>
      <c r="F67" s="34"/>
      <c r="G67" s="34"/>
      <c r="H67" s="34"/>
      <c r="I67" s="34"/>
      <c r="J67" s="34"/>
      <c r="K67" s="34"/>
      <c r="M67" s="34"/>
      <c r="N67" s="34"/>
      <c r="O67" s="34"/>
      <c r="P67" s="34"/>
      <c r="Q67" s="34"/>
      <c r="R67" s="34"/>
      <c r="S67" s="34"/>
      <c r="T67" s="34"/>
      <c r="U67" s="34"/>
      <c r="V67" s="34"/>
      <c r="W67" s="34"/>
    </row>
    <row r="68" spans="1:23" ht="15.75" customHeight="1" x14ac:dyDescent="0.25">
      <c r="A68" s="34"/>
      <c r="B68" s="34"/>
      <c r="C68" s="34"/>
      <c r="D68" s="34"/>
      <c r="E68" s="34"/>
      <c r="F68" s="34"/>
      <c r="G68" s="34"/>
      <c r="H68" s="34"/>
      <c r="I68" s="34"/>
      <c r="J68" s="34"/>
      <c r="K68" s="34"/>
      <c r="M68" s="34"/>
      <c r="N68" s="34"/>
      <c r="O68" s="34"/>
      <c r="P68" s="34"/>
      <c r="Q68" s="34"/>
      <c r="R68" s="34"/>
      <c r="S68" s="34"/>
      <c r="T68" s="34"/>
      <c r="U68" s="34"/>
      <c r="V68" s="34"/>
      <c r="W68" s="34"/>
    </row>
    <row r="69" spans="1:23" ht="15.75" customHeight="1" x14ac:dyDescent="0.25">
      <c r="A69" s="34"/>
      <c r="B69" s="34"/>
      <c r="C69" s="34"/>
      <c r="D69" s="34"/>
      <c r="E69" s="34"/>
      <c r="F69" s="34"/>
      <c r="G69" s="34"/>
      <c r="H69" s="34"/>
      <c r="I69" s="34"/>
      <c r="J69" s="34"/>
      <c r="K69" s="34"/>
      <c r="M69" s="34"/>
      <c r="N69" s="34"/>
      <c r="O69" s="34"/>
      <c r="P69" s="34"/>
      <c r="Q69" s="34"/>
      <c r="R69" s="34"/>
      <c r="S69" s="34"/>
      <c r="T69" s="34"/>
      <c r="U69" s="34"/>
      <c r="V69" s="34"/>
      <c r="W69" s="34"/>
    </row>
    <row r="70" spans="1:23" ht="15.75" customHeight="1" x14ac:dyDescent="0.25">
      <c r="A70" s="34"/>
      <c r="B70" s="34"/>
      <c r="C70" s="34"/>
      <c r="D70" s="34"/>
      <c r="E70" s="34"/>
      <c r="F70" s="34"/>
      <c r="G70" s="34"/>
      <c r="H70" s="34"/>
      <c r="I70" s="34"/>
      <c r="J70" s="34"/>
      <c r="K70" s="34"/>
      <c r="M70" s="34"/>
      <c r="N70" s="34"/>
      <c r="O70" s="34"/>
      <c r="P70" s="34"/>
      <c r="Q70" s="34"/>
      <c r="R70" s="34"/>
      <c r="S70" s="34"/>
      <c r="T70" s="34"/>
      <c r="U70" s="34"/>
      <c r="V70" s="34"/>
      <c r="W70" s="34"/>
    </row>
    <row r="71" spans="1:23" ht="15.75" customHeight="1" x14ac:dyDescent="0.25">
      <c r="A71" s="34"/>
      <c r="B71" s="34"/>
      <c r="C71" s="34"/>
      <c r="D71" s="34"/>
      <c r="E71" s="34"/>
      <c r="F71" s="34"/>
      <c r="G71" s="34"/>
      <c r="H71" s="34"/>
      <c r="I71" s="34"/>
      <c r="J71" s="34"/>
      <c r="K71" s="34"/>
      <c r="M71" s="34"/>
      <c r="N71" s="34"/>
      <c r="O71" s="34"/>
      <c r="P71" s="34"/>
      <c r="Q71" s="34"/>
      <c r="R71" s="34"/>
      <c r="S71" s="34"/>
      <c r="T71" s="34"/>
      <c r="U71" s="34"/>
      <c r="V71" s="34"/>
      <c r="W71" s="34"/>
    </row>
    <row r="72" spans="1:23" ht="15.75" customHeight="1" x14ac:dyDescent="0.25">
      <c r="A72" s="34"/>
      <c r="B72" s="34"/>
      <c r="C72" s="34"/>
      <c r="D72" s="34"/>
      <c r="E72" s="34"/>
      <c r="F72" s="34"/>
      <c r="G72" s="34"/>
      <c r="H72" s="34"/>
      <c r="I72" s="34"/>
      <c r="J72" s="34"/>
      <c r="K72" s="34"/>
      <c r="M72" s="34"/>
      <c r="N72" s="34"/>
      <c r="O72" s="34"/>
      <c r="P72" s="34"/>
      <c r="Q72" s="34"/>
      <c r="R72" s="34"/>
      <c r="S72" s="34"/>
      <c r="T72" s="34"/>
      <c r="U72" s="34"/>
      <c r="V72" s="34"/>
      <c r="W72" s="34"/>
    </row>
    <row r="73" spans="1:23" ht="15.75" customHeight="1" x14ac:dyDescent="0.25">
      <c r="A73" s="34"/>
      <c r="B73" s="34"/>
      <c r="C73" s="34"/>
      <c r="D73" s="34"/>
      <c r="E73" s="34"/>
      <c r="F73" s="34"/>
      <c r="G73" s="34"/>
      <c r="H73" s="34"/>
      <c r="I73" s="34"/>
      <c r="J73" s="34"/>
      <c r="K73" s="34"/>
      <c r="M73" s="34"/>
      <c r="N73" s="34"/>
      <c r="O73" s="34"/>
      <c r="P73" s="34"/>
      <c r="Q73" s="34"/>
      <c r="R73" s="34"/>
      <c r="S73" s="34"/>
      <c r="T73" s="34"/>
      <c r="U73" s="34"/>
      <c r="V73" s="34"/>
      <c r="W73" s="34"/>
    </row>
    <row r="74" spans="1:23" ht="15.75" customHeight="1" x14ac:dyDescent="0.25">
      <c r="A74" s="34"/>
      <c r="B74" s="34"/>
      <c r="C74" s="34"/>
      <c r="D74" s="34"/>
      <c r="E74" s="34"/>
      <c r="F74" s="34"/>
      <c r="G74" s="34"/>
      <c r="H74" s="34"/>
      <c r="I74" s="34"/>
      <c r="J74" s="34"/>
      <c r="K74" s="34"/>
      <c r="M74" s="34"/>
      <c r="N74" s="34"/>
      <c r="O74" s="34"/>
      <c r="P74" s="34"/>
      <c r="Q74" s="34"/>
      <c r="R74" s="34"/>
      <c r="S74" s="34"/>
      <c r="T74" s="34"/>
      <c r="U74" s="34"/>
      <c r="V74" s="34"/>
      <c r="W74" s="34"/>
    </row>
    <row r="75" spans="1:23" ht="15.75" customHeight="1" x14ac:dyDescent="0.25">
      <c r="A75" s="34"/>
      <c r="B75" s="34"/>
      <c r="C75" s="34"/>
      <c r="D75" s="34"/>
      <c r="E75" s="34"/>
      <c r="F75" s="34"/>
      <c r="G75" s="34"/>
      <c r="H75" s="34"/>
      <c r="I75" s="34"/>
      <c r="J75" s="34"/>
      <c r="K75" s="34"/>
      <c r="M75" s="34"/>
      <c r="N75" s="34"/>
      <c r="O75" s="34"/>
      <c r="P75" s="34"/>
      <c r="Q75" s="34"/>
      <c r="R75" s="34"/>
      <c r="S75" s="34"/>
      <c r="T75" s="34"/>
      <c r="U75" s="34"/>
      <c r="V75" s="34"/>
      <c r="W75" s="34"/>
    </row>
    <row r="76" spans="1:23" ht="15.75" customHeight="1" x14ac:dyDescent="0.25">
      <c r="A76" s="34"/>
      <c r="B76" s="34"/>
      <c r="C76" s="34"/>
      <c r="D76" s="34"/>
      <c r="E76" s="34"/>
      <c r="F76" s="34"/>
      <c r="G76" s="34"/>
      <c r="H76" s="34"/>
      <c r="I76" s="34"/>
      <c r="J76" s="34"/>
      <c r="K76" s="34"/>
      <c r="M76" s="34"/>
      <c r="N76" s="34"/>
      <c r="O76" s="34"/>
      <c r="P76" s="34"/>
      <c r="Q76" s="34"/>
      <c r="R76" s="34"/>
      <c r="S76" s="34"/>
      <c r="T76" s="34"/>
      <c r="U76" s="34"/>
      <c r="V76" s="34"/>
      <c r="W76" s="34"/>
    </row>
    <row r="77" spans="1:23" ht="15.75" customHeight="1" x14ac:dyDescent="0.25">
      <c r="A77" s="34"/>
      <c r="B77" s="34"/>
      <c r="C77" s="34"/>
      <c r="D77" s="34"/>
      <c r="E77" s="34"/>
      <c r="F77" s="34"/>
      <c r="G77" s="34"/>
      <c r="H77" s="34"/>
      <c r="I77" s="34"/>
      <c r="J77" s="34"/>
      <c r="K77" s="34"/>
      <c r="M77" s="34"/>
      <c r="N77" s="34"/>
      <c r="O77" s="34"/>
      <c r="P77" s="34"/>
      <c r="Q77" s="34"/>
      <c r="R77" s="34"/>
      <c r="S77" s="34"/>
      <c r="T77" s="34"/>
      <c r="U77" s="34"/>
      <c r="V77" s="34"/>
      <c r="W77" s="34"/>
    </row>
    <row r="78" spans="1:23" ht="15.75" customHeight="1" x14ac:dyDescent="0.25">
      <c r="A78" s="34"/>
      <c r="B78" s="34"/>
      <c r="C78" s="34"/>
      <c r="D78" s="34"/>
      <c r="E78" s="34"/>
      <c r="F78" s="34"/>
      <c r="G78" s="34"/>
      <c r="H78" s="34"/>
      <c r="I78" s="34"/>
      <c r="J78" s="34"/>
      <c r="K78" s="34"/>
      <c r="M78" s="34"/>
      <c r="N78" s="34"/>
      <c r="O78" s="34"/>
      <c r="P78" s="34"/>
      <c r="Q78" s="34"/>
      <c r="R78" s="34"/>
      <c r="S78" s="34"/>
      <c r="T78" s="34"/>
      <c r="U78" s="34"/>
      <c r="V78" s="34"/>
      <c r="W78" s="34"/>
    </row>
    <row r="79" spans="1:23" ht="15.75" customHeight="1" x14ac:dyDescent="0.25">
      <c r="A79" s="34"/>
      <c r="B79" s="34"/>
      <c r="C79" s="34"/>
      <c r="D79" s="34"/>
      <c r="E79" s="34"/>
      <c r="F79" s="34"/>
      <c r="G79" s="34"/>
      <c r="H79" s="34"/>
      <c r="I79" s="34"/>
      <c r="J79" s="34"/>
      <c r="K79" s="34"/>
      <c r="M79" s="34"/>
      <c r="N79" s="34"/>
      <c r="O79" s="34"/>
      <c r="P79" s="34"/>
      <c r="Q79" s="34"/>
      <c r="R79" s="34"/>
      <c r="S79" s="34"/>
      <c r="T79" s="34"/>
      <c r="U79" s="34"/>
      <c r="V79" s="34"/>
      <c r="W79" s="34"/>
    </row>
    <row r="80" spans="1:23" ht="15.75" customHeight="1" x14ac:dyDescent="0.25">
      <c r="A80" s="34"/>
      <c r="B80" s="34"/>
      <c r="C80" s="34"/>
      <c r="D80" s="34"/>
      <c r="E80" s="34"/>
      <c r="F80" s="34"/>
      <c r="G80" s="34"/>
      <c r="H80" s="34"/>
      <c r="I80" s="34"/>
      <c r="J80" s="34"/>
      <c r="K80" s="34"/>
      <c r="M80" s="34"/>
      <c r="N80" s="34"/>
      <c r="O80" s="34"/>
      <c r="P80" s="34"/>
      <c r="Q80" s="34"/>
      <c r="R80" s="34"/>
      <c r="S80" s="34"/>
      <c r="T80" s="34"/>
      <c r="U80" s="34"/>
      <c r="V80" s="34"/>
      <c r="W80" s="34"/>
    </row>
    <row r="81" spans="1:23" ht="15.75" customHeight="1" x14ac:dyDescent="0.25">
      <c r="A81" s="34"/>
      <c r="B81" s="34"/>
      <c r="C81" s="34"/>
      <c r="D81" s="34"/>
      <c r="E81" s="34"/>
      <c r="F81" s="34"/>
      <c r="G81" s="34"/>
      <c r="H81" s="34"/>
      <c r="I81" s="34"/>
      <c r="J81" s="34"/>
      <c r="K81" s="34"/>
      <c r="M81" s="34"/>
      <c r="N81" s="34"/>
      <c r="O81" s="34"/>
      <c r="P81" s="34"/>
      <c r="Q81" s="34"/>
      <c r="R81" s="34"/>
      <c r="S81" s="34"/>
      <c r="T81" s="34"/>
      <c r="U81" s="34"/>
      <c r="V81" s="34"/>
      <c r="W81" s="34"/>
    </row>
    <row r="82" spans="1:23" ht="15.75" customHeight="1" x14ac:dyDescent="0.25">
      <c r="A82" s="34"/>
      <c r="B82" s="34"/>
      <c r="C82" s="34"/>
      <c r="D82" s="34"/>
      <c r="E82" s="34"/>
      <c r="F82" s="34"/>
      <c r="G82" s="34"/>
      <c r="H82" s="34"/>
      <c r="I82" s="34"/>
      <c r="J82" s="34"/>
      <c r="K82" s="34"/>
      <c r="M82" s="34"/>
      <c r="N82" s="34"/>
      <c r="O82" s="34"/>
      <c r="P82" s="34"/>
      <c r="Q82" s="34"/>
      <c r="R82" s="34"/>
      <c r="S82" s="34"/>
      <c r="T82" s="34"/>
      <c r="U82" s="34"/>
      <c r="V82" s="34"/>
      <c r="W82" s="34"/>
    </row>
    <row r="83" spans="1:23" ht="15.75" customHeight="1" x14ac:dyDescent="0.25">
      <c r="A83" s="34"/>
      <c r="B83" s="34"/>
      <c r="C83" s="34"/>
      <c r="D83" s="34"/>
      <c r="E83" s="34"/>
      <c r="F83" s="34"/>
      <c r="G83" s="34"/>
      <c r="H83" s="34"/>
      <c r="I83" s="34"/>
      <c r="J83" s="34"/>
      <c r="K83" s="34"/>
      <c r="M83" s="34"/>
      <c r="N83" s="34"/>
      <c r="O83" s="34"/>
      <c r="P83" s="34"/>
      <c r="Q83" s="34"/>
      <c r="R83" s="34"/>
      <c r="S83" s="34"/>
      <c r="T83" s="34"/>
      <c r="U83" s="34"/>
      <c r="V83" s="34"/>
      <c r="W83" s="34"/>
    </row>
    <row r="84" spans="1:23" ht="15.75" customHeight="1" x14ac:dyDescent="0.25">
      <c r="A84" s="34"/>
      <c r="B84" s="34"/>
      <c r="C84" s="34"/>
      <c r="D84" s="34"/>
      <c r="E84" s="34"/>
      <c r="F84" s="34"/>
      <c r="G84" s="34"/>
      <c r="H84" s="34"/>
      <c r="I84" s="34"/>
      <c r="J84" s="34"/>
      <c r="K84" s="34"/>
      <c r="M84" s="34"/>
      <c r="N84" s="34"/>
      <c r="O84" s="34"/>
      <c r="P84" s="34"/>
      <c r="Q84" s="34"/>
      <c r="R84" s="34"/>
      <c r="S84" s="34"/>
      <c r="T84" s="34"/>
      <c r="U84" s="34"/>
      <c r="V84" s="34"/>
      <c r="W84" s="34"/>
    </row>
    <row r="85" spans="1:23" ht="15.75" customHeight="1" x14ac:dyDescent="0.25">
      <c r="A85" s="34"/>
      <c r="B85" s="34"/>
      <c r="C85" s="34"/>
      <c r="D85" s="34"/>
      <c r="E85" s="34"/>
      <c r="F85" s="34"/>
      <c r="G85" s="34"/>
      <c r="H85" s="34"/>
      <c r="I85" s="34"/>
      <c r="J85" s="34"/>
      <c r="K85" s="34"/>
      <c r="M85" s="34"/>
      <c r="N85" s="34"/>
      <c r="O85" s="34"/>
      <c r="P85" s="34"/>
      <c r="Q85" s="34"/>
      <c r="R85" s="34"/>
      <c r="S85" s="34"/>
      <c r="T85" s="34"/>
      <c r="U85" s="34"/>
      <c r="V85" s="34"/>
      <c r="W85" s="34"/>
    </row>
    <row r="86" spans="1:23" ht="15.75" customHeight="1" x14ac:dyDescent="0.25">
      <c r="A86" s="34"/>
      <c r="B86" s="34"/>
      <c r="C86" s="34"/>
      <c r="D86" s="34"/>
      <c r="E86" s="34"/>
      <c r="F86" s="34"/>
      <c r="G86" s="34"/>
      <c r="H86" s="34"/>
      <c r="I86" s="34"/>
      <c r="J86" s="34"/>
      <c r="K86" s="34"/>
      <c r="M86" s="34"/>
      <c r="N86" s="34"/>
      <c r="O86" s="34"/>
      <c r="P86" s="34"/>
      <c r="Q86" s="34"/>
      <c r="R86" s="34"/>
      <c r="S86" s="34"/>
      <c r="T86" s="34"/>
      <c r="U86" s="34"/>
      <c r="V86" s="34"/>
      <c r="W86" s="34"/>
    </row>
    <row r="87" spans="1:23" ht="15.75" customHeight="1" x14ac:dyDescent="0.25">
      <c r="A87" s="34"/>
      <c r="B87" s="34"/>
      <c r="C87" s="34"/>
      <c r="D87" s="34"/>
      <c r="E87" s="34"/>
      <c r="F87" s="34"/>
      <c r="G87" s="34"/>
      <c r="H87" s="34"/>
      <c r="I87" s="34"/>
      <c r="J87" s="34"/>
      <c r="K87" s="34"/>
      <c r="M87" s="34"/>
      <c r="N87" s="34"/>
      <c r="O87" s="34"/>
      <c r="P87" s="34"/>
      <c r="Q87" s="34"/>
      <c r="R87" s="34"/>
      <c r="S87" s="34"/>
      <c r="T87" s="34"/>
      <c r="U87" s="34"/>
      <c r="V87" s="34"/>
      <c r="W87" s="34"/>
    </row>
    <row r="88" spans="1:23" ht="15.75" customHeight="1" x14ac:dyDescent="0.25">
      <c r="A88" s="34"/>
      <c r="B88" s="34"/>
      <c r="C88" s="34"/>
      <c r="D88" s="34"/>
      <c r="E88" s="34"/>
      <c r="F88" s="34"/>
      <c r="G88" s="34"/>
      <c r="H88" s="34"/>
      <c r="I88" s="34"/>
      <c r="J88" s="34"/>
      <c r="K88" s="34"/>
      <c r="M88" s="34"/>
      <c r="N88" s="34"/>
      <c r="O88" s="34"/>
      <c r="P88" s="34"/>
      <c r="Q88" s="34"/>
      <c r="R88" s="34"/>
      <c r="S88" s="34"/>
      <c r="T88" s="34"/>
      <c r="U88" s="34"/>
      <c r="V88" s="34"/>
      <c r="W88" s="34"/>
    </row>
    <row r="89" spans="1:23" ht="15.75" customHeight="1" x14ac:dyDescent="0.25">
      <c r="A89" s="34"/>
      <c r="B89" s="34"/>
      <c r="C89" s="34"/>
      <c r="D89" s="34"/>
      <c r="E89" s="34"/>
      <c r="F89" s="34"/>
      <c r="G89" s="34"/>
      <c r="H89" s="34"/>
      <c r="I89" s="34"/>
      <c r="J89" s="34"/>
      <c r="K89" s="34"/>
      <c r="M89" s="34"/>
      <c r="N89" s="34"/>
      <c r="O89" s="34"/>
      <c r="P89" s="34"/>
      <c r="Q89" s="34"/>
      <c r="R89" s="34"/>
      <c r="S89" s="34"/>
      <c r="T89" s="34"/>
      <c r="U89" s="34"/>
      <c r="V89" s="34"/>
      <c r="W89" s="34"/>
    </row>
    <row r="90" spans="1:23" ht="15.75" customHeight="1" x14ac:dyDescent="0.25">
      <c r="A90" s="34"/>
      <c r="B90" s="34"/>
      <c r="C90" s="34"/>
      <c r="D90" s="34"/>
      <c r="E90" s="34"/>
      <c r="F90" s="34"/>
      <c r="G90" s="34"/>
      <c r="H90" s="34"/>
      <c r="I90" s="34"/>
      <c r="J90" s="34"/>
      <c r="K90" s="34"/>
      <c r="M90" s="34"/>
      <c r="N90" s="34"/>
      <c r="O90" s="34"/>
      <c r="P90" s="34"/>
      <c r="Q90" s="34"/>
      <c r="R90" s="34"/>
      <c r="S90" s="34"/>
      <c r="T90" s="34"/>
      <c r="U90" s="34"/>
      <c r="V90" s="34"/>
      <c r="W90" s="34"/>
    </row>
    <row r="91" spans="1:23" ht="15.75" customHeight="1" x14ac:dyDescent="0.25">
      <c r="A91" s="34"/>
      <c r="B91" s="34"/>
      <c r="C91" s="34"/>
      <c r="D91" s="34"/>
      <c r="E91" s="34"/>
      <c r="F91" s="34"/>
      <c r="G91" s="34"/>
      <c r="H91" s="34"/>
      <c r="I91" s="34"/>
      <c r="J91" s="34"/>
      <c r="K91" s="34"/>
      <c r="M91" s="34"/>
      <c r="N91" s="34"/>
      <c r="O91" s="34"/>
      <c r="P91" s="34"/>
      <c r="Q91" s="34"/>
      <c r="R91" s="34"/>
      <c r="S91" s="34"/>
      <c r="T91" s="34"/>
      <c r="U91" s="34"/>
      <c r="V91" s="34"/>
      <c r="W91" s="34"/>
    </row>
    <row r="92" spans="1:23" ht="15.75" customHeight="1" x14ac:dyDescent="0.25">
      <c r="A92" s="34"/>
      <c r="B92" s="34"/>
      <c r="C92" s="34"/>
      <c r="D92" s="34"/>
      <c r="E92" s="34"/>
      <c r="F92" s="34"/>
      <c r="G92" s="34"/>
      <c r="H92" s="34"/>
      <c r="I92" s="34"/>
      <c r="J92" s="34"/>
      <c r="K92" s="34"/>
      <c r="M92" s="34"/>
      <c r="N92" s="34"/>
      <c r="O92" s="34"/>
      <c r="P92" s="34"/>
      <c r="Q92" s="34"/>
      <c r="R92" s="34"/>
      <c r="S92" s="34"/>
      <c r="T92" s="34"/>
      <c r="U92" s="34"/>
      <c r="V92" s="34"/>
      <c r="W92" s="34"/>
    </row>
    <row r="93" spans="1:23" ht="15.75" customHeight="1" x14ac:dyDescent="0.25">
      <c r="A93" s="34"/>
      <c r="B93" s="34"/>
      <c r="C93" s="34"/>
      <c r="D93" s="34"/>
      <c r="E93" s="34"/>
      <c r="F93" s="34"/>
      <c r="G93" s="34"/>
      <c r="H93" s="34"/>
      <c r="I93" s="34"/>
      <c r="J93" s="34"/>
      <c r="K93" s="34"/>
      <c r="M93" s="34"/>
      <c r="N93" s="34"/>
      <c r="O93" s="34"/>
      <c r="P93" s="34"/>
      <c r="Q93" s="34"/>
      <c r="R93" s="34"/>
      <c r="S93" s="34"/>
      <c r="T93" s="34"/>
      <c r="U93" s="34"/>
      <c r="V93" s="34"/>
      <c r="W93" s="34"/>
    </row>
    <row r="94" spans="1:23" ht="15.75" customHeight="1" x14ac:dyDescent="0.25">
      <c r="A94" s="34"/>
      <c r="B94" s="34"/>
      <c r="C94" s="34"/>
      <c r="D94" s="34"/>
      <c r="E94" s="34"/>
      <c r="F94" s="34"/>
      <c r="G94" s="34"/>
      <c r="H94" s="34"/>
      <c r="I94" s="34"/>
      <c r="J94" s="34"/>
      <c r="K94" s="34"/>
      <c r="M94" s="34"/>
      <c r="N94" s="34"/>
      <c r="O94" s="34"/>
      <c r="P94" s="34"/>
      <c r="Q94" s="34"/>
      <c r="R94" s="34"/>
      <c r="S94" s="34"/>
      <c r="T94" s="34"/>
      <c r="U94" s="34"/>
      <c r="V94" s="34"/>
      <c r="W94" s="34"/>
    </row>
    <row r="95" spans="1:23" ht="15.75" customHeight="1" x14ac:dyDescent="0.25">
      <c r="A95" s="34"/>
      <c r="B95" s="34"/>
      <c r="C95" s="34"/>
      <c r="D95" s="34"/>
      <c r="E95" s="34"/>
      <c r="F95" s="34"/>
      <c r="G95" s="34"/>
      <c r="H95" s="34"/>
      <c r="I95" s="34"/>
      <c r="J95" s="34"/>
      <c r="K95" s="34"/>
      <c r="M95" s="34"/>
      <c r="N95" s="34"/>
      <c r="O95" s="34"/>
      <c r="P95" s="34"/>
      <c r="Q95" s="34"/>
      <c r="R95" s="34"/>
      <c r="S95" s="34"/>
      <c r="T95" s="34"/>
      <c r="U95" s="34"/>
      <c r="V95" s="34"/>
      <c r="W95" s="34"/>
    </row>
    <row r="96" spans="1:23" ht="15.75" customHeight="1" x14ac:dyDescent="0.25">
      <c r="A96" s="34"/>
      <c r="B96" s="34"/>
      <c r="C96" s="34"/>
      <c r="D96" s="34"/>
      <c r="E96" s="34"/>
      <c r="F96" s="34"/>
      <c r="G96" s="34"/>
      <c r="H96" s="34"/>
      <c r="I96" s="34"/>
      <c r="J96" s="34"/>
      <c r="K96" s="34"/>
      <c r="M96" s="34"/>
      <c r="N96" s="34"/>
      <c r="O96" s="34"/>
      <c r="P96" s="34"/>
      <c r="Q96" s="34"/>
      <c r="R96" s="34"/>
      <c r="S96" s="34"/>
      <c r="T96" s="34"/>
      <c r="U96" s="34"/>
      <c r="V96" s="34"/>
      <c r="W96" s="34"/>
    </row>
    <row r="97" spans="1:23" ht="15.75" customHeight="1" x14ac:dyDescent="0.25">
      <c r="A97" s="34"/>
      <c r="B97" s="34"/>
      <c r="C97" s="34"/>
      <c r="D97" s="34"/>
      <c r="E97" s="34"/>
      <c r="F97" s="34"/>
      <c r="G97" s="34"/>
      <c r="H97" s="34"/>
      <c r="I97" s="34"/>
      <c r="J97" s="34"/>
      <c r="K97" s="34"/>
      <c r="M97" s="34"/>
      <c r="N97" s="34"/>
      <c r="O97" s="34"/>
      <c r="P97" s="34"/>
      <c r="Q97" s="34"/>
      <c r="R97" s="34"/>
      <c r="S97" s="34"/>
      <c r="T97" s="34"/>
      <c r="U97" s="34"/>
      <c r="V97" s="34"/>
      <c r="W97" s="34"/>
    </row>
    <row r="98" spans="1:23" ht="15.75" customHeight="1" x14ac:dyDescent="0.25">
      <c r="A98" s="34"/>
      <c r="B98" s="34"/>
      <c r="C98" s="34"/>
      <c r="D98" s="34"/>
      <c r="E98" s="34"/>
      <c r="F98" s="34"/>
      <c r="G98" s="34"/>
      <c r="H98" s="34"/>
      <c r="I98" s="34"/>
      <c r="J98" s="34"/>
      <c r="K98" s="34"/>
      <c r="M98" s="34"/>
      <c r="N98" s="34"/>
      <c r="O98" s="34"/>
      <c r="P98" s="34"/>
      <c r="Q98" s="34"/>
      <c r="R98" s="34"/>
      <c r="S98" s="34"/>
      <c r="T98" s="34"/>
      <c r="U98" s="34"/>
      <c r="V98" s="34"/>
      <c r="W98" s="34"/>
    </row>
    <row r="99" spans="1:23" ht="15.75" customHeight="1" x14ac:dyDescent="0.25">
      <c r="A99" s="34"/>
      <c r="B99" s="34"/>
      <c r="C99" s="34"/>
      <c r="D99" s="34"/>
      <c r="E99" s="34"/>
      <c r="F99" s="34"/>
      <c r="G99" s="34"/>
      <c r="H99" s="34"/>
      <c r="I99" s="34"/>
      <c r="J99" s="34"/>
      <c r="K99" s="34"/>
      <c r="M99" s="34"/>
      <c r="N99" s="34"/>
      <c r="O99" s="34"/>
      <c r="P99" s="34"/>
      <c r="Q99" s="34"/>
      <c r="R99" s="34"/>
      <c r="S99" s="34"/>
      <c r="T99" s="34"/>
      <c r="U99" s="34"/>
      <c r="V99" s="34"/>
      <c r="W99" s="34"/>
    </row>
    <row r="100" spans="1:23" ht="15.75" customHeight="1" x14ac:dyDescent="0.25">
      <c r="A100" s="34"/>
      <c r="B100" s="34"/>
      <c r="C100" s="34"/>
      <c r="D100" s="34"/>
      <c r="E100" s="34"/>
      <c r="F100" s="34"/>
      <c r="G100" s="34"/>
      <c r="H100" s="34"/>
      <c r="I100" s="34"/>
      <c r="J100" s="34"/>
      <c r="K100" s="34"/>
      <c r="M100" s="34"/>
      <c r="N100" s="34"/>
      <c r="O100" s="34"/>
      <c r="P100" s="34"/>
      <c r="Q100" s="34"/>
      <c r="R100" s="34"/>
      <c r="S100" s="34"/>
      <c r="T100" s="34"/>
      <c r="U100" s="34"/>
      <c r="V100" s="34"/>
      <c r="W100" s="34"/>
    </row>
    <row r="101" spans="1:23" ht="15.75" customHeight="1" x14ac:dyDescent="0.25">
      <c r="A101" s="34"/>
      <c r="B101" s="34"/>
      <c r="C101" s="34"/>
      <c r="D101" s="34"/>
      <c r="E101" s="34"/>
      <c r="F101" s="34"/>
      <c r="G101" s="34"/>
      <c r="H101" s="34"/>
      <c r="I101" s="34"/>
      <c r="J101" s="34"/>
      <c r="K101" s="34"/>
      <c r="M101" s="34"/>
      <c r="N101" s="34"/>
      <c r="O101" s="34"/>
      <c r="P101" s="34"/>
      <c r="Q101" s="34"/>
      <c r="R101" s="34"/>
      <c r="S101" s="34"/>
      <c r="T101" s="34"/>
      <c r="U101" s="34"/>
      <c r="V101" s="34"/>
      <c r="W101" s="34"/>
    </row>
    <row r="102" spans="1:23" ht="15.75" customHeight="1" x14ac:dyDescent="0.25">
      <c r="A102" s="34"/>
      <c r="B102" s="34"/>
      <c r="C102" s="34"/>
      <c r="D102" s="34"/>
      <c r="E102" s="34"/>
      <c r="F102" s="34"/>
      <c r="G102" s="34"/>
      <c r="H102" s="34"/>
      <c r="I102" s="34"/>
      <c r="J102" s="34"/>
      <c r="K102" s="34"/>
      <c r="M102" s="34"/>
      <c r="N102" s="34"/>
      <c r="O102" s="34"/>
      <c r="P102" s="34"/>
      <c r="Q102" s="34"/>
      <c r="R102" s="34"/>
      <c r="S102" s="34"/>
      <c r="T102" s="34"/>
      <c r="U102" s="34"/>
      <c r="V102" s="34"/>
      <c r="W102" s="34"/>
    </row>
    <row r="103" spans="1:23" ht="15.75" customHeight="1" x14ac:dyDescent="0.25">
      <c r="A103" s="34"/>
      <c r="B103" s="34"/>
      <c r="C103" s="34"/>
      <c r="D103" s="34"/>
      <c r="E103" s="34"/>
      <c r="F103" s="34"/>
      <c r="G103" s="34"/>
      <c r="H103" s="34"/>
      <c r="I103" s="34"/>
      <c r="J103" s="34"/>
      <c r="K103" s="34"/>
      <c r="M103" s="34"/>
      <c r="N103" s="34"/>
      <c r="O103" s="34"/>
      <c r="P103" s="34"/>
      <c r="Q103" s="34"/>
      <c r="R103" s="34"/>
      <c r="S103" s="34"/>
      <c r="T103" s="34"/>
      <c r="U103" s="34"/>
      <c r="V103" s="34"/>
      <c r="W103" s="34"/>
    </row>
    <row r="104" spans="1:23" ht="15.75" customHeight="1" x14ac:dyDescent="0.25">
      <c r="A104" s="34"/>
      <c r="B104" s="34"/>
      <c r="C104" s="34"/>
      <c r="D104" s="34"/>
      <c r="E104" s="34"/>
      <c r="F104" s="34"/>
      <c r="G104" s="34"/>
      <c r="H104" s="34"/>
      <c r="I104" s="34"/>
      <c r="J104" s="34"/>
      <c r="K104" s="34"/>
      <c r="M104" s="34"/>
      <c r="N104" s="34"/>
      <c r="O104" s="34"/>
      <c r="P104" s="34"/>
      <c r="Q104" s="34"/>
      <c r="R104" s="34"/>
      <c r="S104" s="34"/>
      <c r="T104" s="34"/>
      <c r="U104" s="34"/>
      <c r="V104" s="34"/>
      <c r="W104" s="34"/>
    </row>
    <row r="105" spans="1:23" ht="15.75" customHeight="1" x14ac:dyDescent="0.25">
      <c r="A105" s="34"/>
      <c r="B105" s="34"/>
      <c r="C105" s="34"/>
      <c r="D105" s="34"/>
      <c r="E105" s="34"/>
      <c r="F105" s="34"/>
      <c r="G105" s="34"/>
      <c r="H105" s="34"/>
      <c r="I105" s="34"/>
      <c r="J105" s="34"/>
      <c r="K105" s="34"/>
      <c r="M105" s="34"/>
      <c r="N105" s="34"/>
      <c r="O105" s="34"/>
      <c r="P105" s="34"/>
      <c r="Q105" s="34"/>
      <c r="R105" s="34"/>
      <c r="S105" s="34"/>
      <c r="T105" s="34"/>
      <c r="U105" s="34"/>
      <c r="V105" s="34"/>
      <c r="W105" s="34"/>
    </row>
    <row r="106" spans="1:23" ht="15.75" customHeight="1" x14ac:dyDescent="0.25">
      <c r="A106" s="34"/>
      <c r="B106" s="34"/>
      <c r="C106" s="34"/>
      <c r="D106" s="34"/>
      <c r="E106" s="34"/>
      <c r="F106" s="34"/>
      <c r="G106" s="34"/>
      <c r="H106" s="34"/>
      <c r="I106" s="34"/>
      <c r="J106" s="34"/>
      <c r="K106" s="34"/>
      <c r="M106" s="34"/>
      <c r="N106" s="34"/>
      <c r="O106" s="34"/>
      <c r="P106" s="34"/>
      <c r="Q106" s="34"/>
      <c r="R106" s="34"/>
      <c r="S106" s="34"/>
      <c r="T106" s="34"/>
      <c r="U106" s="34"/>
      <c r="V106" s="34"/>
      <c r="W106" s="34"/>
    </row>
    <row r="107" spans="1:23" ht="15.75" customHeight="1" x14ac:dyDescent="0.25">
      <c r="A107" s="34"/>
      <c r="B107" s="34"/>
      <c r="C107" s="34"/>
      <c r="D107" s="34"/>
      <c r="E107" s="34"/>
      <c r="F107" s="34"/>
      <c r="G107" s="34"/>
      <c r="H107" s="34"/>
      <c r="I107" s="34"/>
      <c r="J107" s="34"/>
      <c r="K107" s="34"/>
      <c r="M107" s="34"/>
      <c r="N107" s="34"/>
      <c r="O107" s="34"/>
      <c r="P107" s="34"/>
      <c r="Q107" s="34"/>
      <c r="R107" s="34"/>
      <c r="S107" s="34"/>
      <c r="T107" s="34"/>
      <c r="U107" s="34"/>
      <c r="V107" s="34"/>
      <c r="W107" s="34"/>
    </row>
    <row r="108" spans="1:23" ht="15.75" customHeight="1" x14ac:dyDescent="0.25">
      <c r="A108" s="34"/>
      <c r="B108" s="34"/>
      <c r="C108" s="34"/>
      <c r="D108" s="34"/>
      <c r="E108" s="34"/>
      <c r="F108" s="34"/>
      <c r="G108" s="34"/>
      <c r="H108" s="34"/>
      <c r="I108" s="34"/>
      <c r="J108" s="34"/>
      <c r="K108" s="34"/>
      <c r="M108" s="34"/>
      <c r="N108" s="34"/>
      <c r="O108" s="34"/>
      <c r="P108" s="34"/>
      <c r="Q108" s="34"/>
      <c r="R108" s="34"/>
      <c r="S108" s="34"/>
      <c r="T108" s="34"/>
      <c r="U108" s="34"/>
      <c r="V108" s="34"/>
      <c r="W108" s="34"/>
    </row>
    <row r="109" spans="1:23" ht="15.75" customHeight="1" x14ac:dyDescent="0.25">
      <c r="A109" s="34"/>
      <c r="B109" s="34"/>
      <c r="C109" s="34"/>
      <c r="D109" s="34"/>
      <c r="E109" s="34"/>
      <c r="F109" s="34"/>
      <c r="G109" s="34"/>
      <c r="H109" s="34"/>
      <c r="I109" s="34"/>
      <c r="J109" s="34"/>
      <c r="K109" s="34"/>
      <c r="M109" s="34"/>
      <c r="N109" s="34"/>
      <c r="O109" s="34"/>
      <c r="P109" s="34"/>
      <c r="Q109" s="34"/>
      <c r="R109" s="34"/>
      <c r="S109" s="34"/>
      <c r="T109" s="34"/>
      <c r="U109" s="34"/>
      <c r="V109" s="34"/>
      <c r="W109" s="34"/>
    </row>
    <row r="110" spans="1:23" ht="15.75" customHeight="1" x14ac:dyDescent="0.25">
      <c r="A110" s="34"/>
      <c r="B110" s="34"/>
      <c r="C110" s="34"/>
      <c r="D110" s="34"/>
      <c r="E110" s="34"/>
      <c r="F110" s="34"/>
      <c r="G110" s="34"/>
      <c r="H110" s="34"/>
      <c r="I110" s="34"/>
      <c r="J110" s="34"/>
      <c r="K110" s="34"/>
      <c r="M110" s="34"/>
      <c r="N110" s="34"/>
      <c r="O110" s="34"/>
      <c r="P110" s="34"/>
      <c r="Q110" s="34"/>
      <c r="R110" s="34"/>
      <c r="S110" s="34"/>
      <c r="T110" s="34"/>
      <c r="U110" s="34"/>
      <c r="V110" s="34"/>
      <c r="W110" s="34"/>
    </row>
    <row r="111" spans="1:23" ht="15.75" customHeight="1" x14ac:dyDescent="0.25">
      <c r="A111" s="34"/>
      <c r="B111" s="34"/>
      <c r="C111" s="34"/>
      <c r="D111" s="34"/>
      <c r="E111" s="34"/>
      <c r="F111" s="34"/>
      <c r="G111" s="34"/>
      <c r="H111" s="34"/>
      <c r="I111" s="34"/>
      <c r="J111" s="34"/>
      <c r="K111" s="34"/>
      <c r="M111" s="34"/>
      <c r="N111" s="34"/>
      <c r="O111" s="34"/>
      <c r="P111" s="34"/>
      <c r="Q111" s="34"/>
      <c r="R111" s="34"/>
      <c r="S111" s="34"/>
      <c r="T111" s="34"/>
      <c r="U111" s="34"/>
      <c r="V111" s="34"/>
      <c r="W111" s="34"/>
    </row>
    <row r="112" spans="1:23" ht="15.75" customHeight="1" x14ac:dyDescent="0.25">
      <c r="A112" s="34"/>
      <c r="B112" s="34"/>
      <c r="C112" s="34"/>
      <c r="D112" s="34"/>
      <c r="E112" s="34"/>
      <c r="F112" s="34"/>
      <c r="G112" s="34"/>
      <c r="H112" s="34"/>
      <c r="I112" s="34"/>
      <c r="J112" s="34"/>
      <c r="K112" s="34"/>
      <c r="M112" s="34"/>
      <c r="N112" s="34"/>
      <c r="O112" s="34"/>
      <c r="P112" s="34"/>
      <c r="Q112" s="34"/>
      <c r="R112" s="34"/>
      <c r="S112" s="34"/>
      <c r="T112" s="34"/>
      <c r="U112" s="34"/>
      <c r="V112" s="34"/>
      <c r="W112" s="34"/>
    </row>
    <row r="113" spans="1:23" ht="15.75" customHeight="1" x14ac:dyDescent="0.25">
      <c r="A113" s="34"/>
      <c r="B113" s="34"/>
      <c r="C113" s="34"/>
      <c r="D113" s="34"/>
      <c r="E113" s="34"/>
      <c r="F113" s="34"/>
      <c r="G113" s="34"/>
      <c r="H113" s="34"/>
      <c r="I113" s="34"/>
      <c r="J113" s="34"/>
      <c r="K113" s="34"/>
      <c r="M113" s="34"/>
      <c r="N113" s="34"/>
      <c r="O113" s="34"/>
      <c r="P113" s="34"/>
      <c r="Q113" s="34"/>
      <c r="R113" s="34"/>
      <c r="S113" s="34"/>
      <c r="T113" s="34"/>
      <c r="U113" s="34"/>
      <c r="V113" s="34"/>
      <c r="W113" s="34"/>
    </row>
    <row r="114" spans="1:23" ht="15.75" customHeight="1" x14ac:dyDescent="0.25">
      <c r="A114" s="34"/>
      <c r="B114" s="34"/>
      <c r="C114" s="34"/>
      <c r="D114" s="34"/>
      <c r="E114" s="34"/>
      <c r="F114" s="34"/>
      <c r="G114" s="34"/>
      <c r="H114" s="34"/>
      <c r="I114" s="34"/>
      <c r="J114" s="34"/>
      <c r="K114" s="34"/>
      <c r="M114" s="34"/>
      <c r="N114" s="34"/>
      <c r="O114" s="34"/>
      <c r="P114" s="34"/>
      <c r="Q114" s="34"/>
      <c r="R114" s="34"/>
      <c r="S114" s="34"/>
      <c r="T114" s="34"/>
      <c r="U114" s="34"/>
      <c r="V114" s="34"/>
      <c r="W114" s="34"/>
    </row>
    <row r="115" spans="1:23" ht="15.75" customHeight="1" x14ac:dyDescent="0.25">
      <c r="A115" s="34"/>
      <c r="B115" s="34"/>
      <c r="C115" s="34"/>
      <c r="D115" s="34"/>
      <c r="E115" s="34"/>
      <c r="F115" s="34"/>
      <c r="G115" s="34"/>
      <c r="H115" s="34"/>
      <c r="I115" s="34"/>
      <c r="J115" s="34"/>
      <c r="K115" s="34"/>
      <c r="M115" s="34"/>
      <c r="N115" s="34"/>
      <c r="O115" s="34"/>
      <c r="P115" s="34"/>
      <c r="Q115" s="34"/>
      <c r="R115" s="34"/>
      <c r="S115" s="34"/>
      <c r="T115" s="34"/>
      <c r="U115" s="34"/>
      <c r="V115" s="34"/>
      <c r="W115" s="34"/>
    </row>
    <row r="116" spans="1:23" ht="15.75" customHeight="1" x14ac:dyDescent="0.25">
      <c r="A116" s="34"/>
      <c r="B116" s="34"/>
      <c r="C116" s="34"/>
      <c r="D116" s="34"/>
      <c r="E116" s="34"/>
      <c r="F116" s="34"/>
      <c r="G116" s="34"/>
      <c r="H116" s="34"/>
      <c r="I116" s="34"/>
      <c r="J116" s="34"/>
      <c r="K116" s="34"/>
      <c r="M116" s="34"/>
      <c r="N116" s="34"/>
      <c r="O116" s="34"/>
      <c r="P116" s="34"/>
      <c r="Q116" s="34"/>
      <c r="R116" s="34"/>
      <c r="S116" s="34"/>
      <c r="T116" s="34"/>
      <c r="U116" s="34"/>
      <c r="V116" s="34"/>
      <c r="W116" s="34"/>
    </row>
    <row r="117" spans="1:23" ht="15.75" customHeight="1" x14ac:dyDescent="0.25">
      <c r="A117" s="34"/>
      <c r="B117" s="34"/>
      <c r="C117" s="34"/>
      <c r="D117" s="34"/>
      <c r="E117" s="34"/>
      <c r="F117" s="34"/>
      <c r="G117" s="34"/>
      <c r="H117" s="34"/>
      <c r="I117" s="34"/>
      <c r="J117" s="34"/>
      <c r="K117" s="34"/>
      <c r="M117" s="34"/>
      <c r="N117" s="34"/>
      <c r="O117" s="34"/>
      <c r="P117" s="34"/>
      <c r="Q117" s="34"/>
      <c r="R117" s="34"/>
      <c r="S117" s="34"/>
      <c r="T117" s="34"/>
      <c r="U117" s="34"/>
      <c r="V117" s="34"/>
      <c r="W117" s="34"/>
    </row>
    <row r="118" spans="1:23" ht="15.75" customHeight="1" x14ac:dyDescent="0.25">
      <c r="A118" s="34"/>
      <c r="B118" s="34"/>
      <c r="C118" s="34"/>
      <c r="D118" s="34"/>
      <c r="E118" s="34"/>
      <c r="F118" s="34"/>
      <c r="G118" s="34"/>
      <c r="H118" s="34"/>
      <c r="I118" s="34"/>
      <c r="J118" s="34"/>
      <c r="K118" s="34"/>
      <c r="M118" s="34"/>
      <c r="N118" s="34"/>
      <c r="O118" s="34"/>
      <c r="P118" s="34"/>
      <c r="Q118" s="34"/>
      <c r="R118" s="34"/>
      <c r="S118" s="34"/>
      <c r="T118" s="34"/>
      <c r="U118" s="34"/>
      <c r="V118" s="34"/>
      <c r="W118" s="34"/>
    </row>
    <row r="119" spans="1:23" ht="15.75" customHeight="1" x14ac:dyDescent="0.25">
      <c r="A119" s="34"/>
      <c r="B119" s="34"/>
      <c r="C119" s="34"/>
      <c r="D119" s="34"/>
      <c r="E119" s="34"/>
      <c r="F119" s="34"/>
      <c r="G119" s="34"/>
      <c r="H119" s="34"/>
      <c r="I119" s="34"/>
      <c r="J119" s="34"/>
      <c r="K119" s="34"/>
      <c r="M119" s="34"/>
      <c r="N119" s="34"/>
      <c r="O119" s="34"/>
      <c r="P119" s="34"/>
      <c r="Q119" s="34"/>
      <c r="R119" s="34"/>
      <c r="S119" s="34"/>
      <c r="T119" s="34"/>
      <c r="U119" s="34"/>
      <c r="V119" s="34"/>
      <c r="W119" s="34"/>
    </row>
    <row r="120" spans="1:23" ht="15.75" customHeight="1" x14ac:dyDescent="0.25">
      <c r="A120" s="34"/>
      <c r="B120" s="34"/>
      <c r="C120" s="34"/>
      <c r="D120" s="34"/>
      <c r="E120" s="34"/>
      <c r="F120" s="34"/>
      <c r="G120" s="34"/>
      <c r="H120" s="34"/>
      <c r="I120" s="34"/>
      <c r="J120" s="34"/>
      <c r="K120" s="34"/>
      <c r="M120" s="34"/>
      <c r="N120" s="34"/>
      <c r="O120" s="34"/>
      <c r="P120" s="34"/>
      <c r="Q120" s="34"/>
      <c r="R120" s="34"/>
      <c r="S120" s="34"/>
      <c r="T120" s="34"/>
      <c r="U120" s="34"/>
      <c r="V120" s="34"/>
      <c r="W120" s="34"/>
    </row>
    <row r="121" spans="1:23" ht="15.75" customHeight="1" x14ac:dyDescent="0.25">
      <c r="A121" s="34"/>
      <c r="B121" s="34"/>
      <c r="C121" s="34"/>
      <c r="D121" s="34"/>
      <c r="E121" s="34"/>
      <c r="F121" s="34"/>
      <c r="G121" s="34"/>
      <c r="H121" s="34"/>
      <c r="I121" s="34"/>
      <c r="J121" s="34"/>
      <c r="K121" s="34"/>
      <c r="M121" s="34"/>
      <c r="N121" s="34"/>
      <c r="O121" s="34"/>
      <c r="P121" s="34"/>
      <c r="Q121" s="34"/>
      <c r="R121" s="34"/>
      <c r="S121" s="34"/>
      <c r="T121" s="34"/>
      <c r="U121" s="34"/>
      <c r="V121" s="34"/>
      <c r="W121" s="34"/>
    </row>
    <row r="122" spans="1:23" ht="15.75" customHeight="1" x14ac:dyDescent="0.25">
      <c r="A122" s="34"/>
      <c r="B122" s="34"/>
      <c r="C122" s="34"/>
      <c r="D122" s="34"/>
      <c r="E122" s="34"/>
      <c r="F122" s="34"/>
      <c r="G122" s="34"/>
      <c r="H122" s="34"/>
      <c r="I122" s="34"/>
      <c r="J122" s="34"/>
      <c r="K122" s="34"/>
      <c r="M122" s="34"/>
      <c r="N122" s="34"/>
      <c r="O122" s="34"/>
      <c r="P122" s="34"/>
      <c r="Q122" s="34"/>
      <c r="R122" s="34"/>
      <c r="S122" s="34"/>
      <c r="T122" s="34"/>
      <c r="U122" s="34"/>
      <c r="V122" s="34"/>
      <c r="W122" s="34"/>
    </row>
    <row r="123" spans="1:23" ht="15.75" customHeight="1" x14ac:dyDescent="0.25">
      <c r="A123" s="34"/>
      <c r="B123" s="34"/>
      <c r="C123" s="34"/>
      <c r="D123" s="34"/>
      <c r="E123" s="34"/>
      <c r="F123" s="34"/>
      <c r="G123" s="34"/>
      <c r="H123" s="34"/>
      <c r="I123" s="34"/>
      <c r="J123" s="34"/>
      <c r="K123" s="34"/>
      <c r="M123" s="34"/>
      <c r="N123" s="34"/>
      <c r="O123" s="34"/>
      <c r="P123" s="34"/>
      <c r="Q123" s="34"/>
      <c r="R123" s="34"/>
      <c r="S123" s="34"/>
      <c r="T123" s="34"/>
      <c r="U123" s="34"/>
      <c r="V123" s="34"/>
      <c r="W123" s="34"/>
    </row>
    <row r="124" spans="1:23" ht="15.75" customHeight="1" x14ac:dyDescent="0.25">
      <c r="A124" s="34"/>
      <c r="B124" s="34"/>
      <c r="C124" s="34"/>
      <c r="D124" s="34"/>
      <c r="E124" s="34"/>
      <c r="F124" s="34"/>
      <c r="G124" s="34"/>
      <c r="H124" s="34"/>
      <c r="I124" s="34"/>
      <c r="J124" s="34"/>
      <c r="K124" s="34"/>
      <c r="M124" s="34"/>
      <c r="N124" s="34"/>
      <c r="O124" s="34"/>
      <c r="P124" s="34"/>
      <c r="Q124" s="34"/>
      <c r="R124" s="34"/>
      <c r="S124" s="34"/>
      <c r="T124" s="34"/>
      <c r="U124" s="34"/>
      <c r="V124" s="34"/>
      <c r="W124" s="34"/>
    </row>
    <row r="125" spans="1:23" ht="15.75" customHeight="1" x14ac:dyDescent="0.25">
      <c r="A125" s="34"/>
      <c r="B125" s="34"/>
      <c r="C125" s="34"/>
      <c r="D125" s="34"/>
      <c r="E125" s="34"/>
      <c r="F125" s="34"/>
      <c r="G125" s="34"/>
      <c r="H125" s="34"/>
      <c r="I125" s="34"/>
      <c r="J125" s="34"/>
      <c r="K125" s="34"/>
      <c r="M125" s="34"/>
      <c r="N125" s="34"/>
      <c r="O125" s="34"/>
      <c r="P125" s="34"/>
      <c r="Q125" s="34"/>
      <c r="R125" s="34"/>
      <c r="S125" s="34"/>
      <c r="T125" s="34"/>
      <c r="U125" s="34"/>
      <c r="V125" s="34"/>
      <c r="W125" s="34"/>
    </row>
    <row r="126" spans="1:23" ht="15.75" customHeight="1" x14ac:dyDescent="0.25">
      <c r="A126" s="34"/>
      <c r="B126" s="34"/>
      <c r="C126" s="34"/>
      <c r="D126" s="34"/>
      <c r="E126" s="34"/>
      <c r="F126" s="34"/>
      <c r="G126" s="34"/>
      <c r="H126" s="34"/>
      <c r="I126" s="34"/>
      <c r="J126" s="34"/>
      <c r="K126" s="34"/>
      <c r="M126" s="34"/>
      <c r="N126" s="34"/>
      <c r="O126" s="34"/>
      <c r="P126" s="34"/>
      <c r="Q126" s="34"/>
      <c r="R126" s="34"/>
      <c r="S126" s="34"/>
      <c r="T126" s="34"/>
      <c r="U126" s="34"/>
      <c r="V126" s="34"/>
      <c r="W126" s="34"/>
    </row>
    <row r="127" spans="1:23" ht="15.75" customHeight="1" x14ac:dyDescent="0.25">
      <c r="A127" s="34"/>
      <c r="B127" s="34"/>
      <c r="C127" s="34"/>
      <c r="D127" s="34"/>
      <c r="E127" s="34"/>
      <c r="F127" s="34"/>
      <c r="G127" s="34"/>
      <c r="H127" s="34"/>
      <c r="I127" s="34"/>
      <c r="J127" s="34"/>
      <c r="K127" s="34"/>
      <c r="M127" s="34"/>
      <c r="N127" s="34"/>
      <c r="O127" s="34"/>
      <c r="P127" s="34"/>
      <c r="Q127" s="34"/>
      <c r="R127" s="34"/>
      <c r="S127" s="34"/>
      <c r="T127" s="34"/>
      <c r="U127" s="34"/>
      <c r="V127" s="34"/>
      <c r="W127" s="34"/>
    </row>
    <row r="128" spans="1:23" ht="15.75" customHeight="1" x14ac:dyDescent="0.25">
      <c r="A128" s="34"/>
      <c r="B128" s="34"/>
      <c r="C128" s="34"/>
      <c r="D128" s="34"/>
      <c r="E128" s="34"/>
      <c r="F128" s="34"/>
      <c r="G128" s="34"/>
      <c r="H128" s="34"/>
      <c r="I128" s="34"/>
      <c r="J128" s="34"/>
      <c r="K128" s="34"/>
      <c r="M128" s="34"/>
      <c r="N128" s="34"/>
      <c r="O128" s="34"/>
      <c r="P128" s="34"/>
      <c r="Q128" s="34"/>
      <c r="R128" s="34"/>
      <c r="S128" s="34"/>
      <c r="T128" s="34"/>
      <c r="U128" s="34"/>
      <c r="V128" s="34"/>
      <c r="W128" s="34"/>
    </row>
    <row r="129" spans="1:23" ht="15.75" customHeight="1" x14ac:dyDescent="0.25">
      <c r="A129" s="34"/>
      <c r="B129" s="34"/>
      <c r="C129" s="34"/>
      <c r="D129" s="34"/>
      <c r="E129" s="34"/>
      <c r="F129" s="34"/>
      <c r="G129" s="34"/>
      <c r="H129" s="34"/>
      <c r="I129" s="34"/>
      <c r="J129" s="34"/>
      <c r="K129" s="34"/>
      <c r="M129" s="34"/>
      <c r="N129" s="34"/>
      <c r="O129" s="34"/>
      <c r="P129" s="34"/>
      <c r="Q129" s="34"/>
      <c r="R129" s="34"/>
      <c r="S129" s="34"/>
      <c r="T129" s="34"/>
      <c r="U129" s="34"/>
      <c r="V129" s="34"/>
      <c r="W129" s="34"/>
    </row>
    <row r="130" spans="1:23" ht="15.75" customHeight="1" x14ac:dyDescent="0.25">
      <c r="A130" s="34"/>
      <c r="B130" s="34"/>
      <c r="C130" s="34"/>
      <c r="D130" s="34"/>
      <c r="E130" s="34"/>
      <c r="F130" s="34"/>
      <c r="G130" s="34"/>
      <c r="H130" s="34"/>
      <c r="I130" s="34"/>
      <c r="J130" s="34"/>
      <c r="K130" s="34"/>
      <c r="M130" s="34"/>
      <c r="N130" s="34"/>
      <c r="O130" s="34"/>
      <c r="P130" s="34"/>
      <c r="Q130" s="34"/>
      <c r="R130" s="34"/>
      <c r="S130" s="34"/>
      <c r="T130" s="34"/>
      <c r="U130" s="34"/>
      <c r="V130" s="34"/>
      <c r="W130" s="34"/>
    </row>
    <row r="131" spans="1:23" ht="15.75" customHeight="1" x14ac:dyDescent="0.25">
      <c r="A131" s="34"/>
      <c r="B131" s="34"/>
      <c r="C131" s="34"/>
      <c r="D131" s="34"/>
      <c r="E131" s="34"/>
      <c r="F131" s="34"/>
      <c r="G131" s="34"/>
      <c r="H131" s="34"/>
      <c r="I131" s="34"/>
      <c r="J131" s="34"/>
      <c r="K131" s="34"/>
      <c r="M131" s="34"/>
      <c r="N131" s="34"/>
      <c r="O131" s="34"/>
      <c r="P131" s="34"/>
      <c r="Q131" s="34"/>
      <c r="R131" s="34"/>
      <c r="S131" s="34"/>
      <c r="T131" s="34"/>
      <c r="U131" s="34"/>
      <c r="V131" s="34"/>
      <c r="W131" s="34"/>
    </row>
    <row r="132" spans="1:23" ht="15.75" customHeight="1" x14ac:dyDescent="0.25">
      <c r="A132" s="34"/>
      <c r="B132" s="34"/>
      <c r="C132" s="34"/>
      <c r="D132" s="34"/>
      <c r="E132" s="34"/>
      <c r="F132" s="34"/>
      <c r="G132" s="34"/>
      <c r="H132" s="34"/>
      <c r="I132" s="34"/>
      <c r="J132" s="34"/>
      <c r="K132" s="34"/>
      <c r="M132" s="34"/>
      <c r="N132" s="34"/>
      <c r="O132" s="34"/>
      <c r="P132" s="34"/>
      <c r="Q132" s="34"/>
      <c r="R132" s="34"/>
      <c r="S132" s="34"/>
      <c r="T132" s="34"/>
      <c r="U132" s="34"/>
      <c r="V132" s="34"/>
      <c r="W132" s="34"/>
    </row>
    <row r="133" spans="1:23" ht="15.75" customHeight="1" x14ac:dyDescent="0.25">
      <c r="A133" s="34"/>
      <c r="B133" s="34"/>
      <c r="C133" s="34"/>
      <c r="D133" s="34"/>
      <c r="E133" s="34"/>
      <c r="F133" s="34"/>
      <c r="G133" s="34"/>
      <c r="H133" s="34"/>
      <c r="I133" s="34"/>
      <c r="J133" s="34"/>
      <c r="K133" s="34"/>
      <c r="M133" s="34"/>
      <c r="N133" s="34"/>
      <c r="O133" s="34"/>
      <c r="P133" s="34"/>
      <c r="Q133" s="34"/>
      <c r="R133" s="34"/>
      <c r="S133" s="34"/>
      <c r="T133" s="34"/>
      <c r="U133" s="34"/>
      <c r="V133" s="34"/>
      <c r="W133" s="34"/>
    </row>
    <row r="134" spans="1:23" ht="15.75" customHeight="1" x14ac:dyDescent="0.25">
      <c r="A134" s="34"/>
      <c r="B134" s="34"/>
      <c r="C134" s="34"/>
      <c r="D134" s="34"/>
      <c r="E134" s="34"/>
      <c r="F134" s="34"/>
      <c r="G134" s="34"/>
      <c r="H134" s="34"/>
      <c r="I134" s="34"/>
      <c r="J134" s="34"/>
      <c r="K134" s="34"/>
      <c r="M134" s="34"/>
      <c r="N134" s="34"/>
      <c r="O134" s="34"/>
      <c r="P134" s="34"/>
      <c r="Q134" s="34"/>
      <c r="R134" s="34"/>
      <c r="S134" s="34"/>
      <c r="T134" s="34"/>
      <c r="U134" s="34"/>
      <c r="V134" s="34"/>
      <c r="W134" s="34"/>
    </row>
    <row r="135" spans="1:23" ht="15.75" customHeight="1" x14ac:dyDescent="0.25">
      <c r="A135" s="34"/>
      <c r="B135" s="34"/>
      <c r="C135" s="34"/>
      <c r="D135" s="34"/>
      <c r="E135" s="34"/>
      <c r="F135" s="34"/>
      <c r="G135" s="34"/>
      <c r="H135" s="34"/>
      <c r="I135" s="34"/>
      <c r="J135" s="34"/>
      <c r="K135" s="34"/>
      <c r="M135" s="34"/>
      <c r="N135" s="34"/>
      <c r="O135" s="34"/>
      <c r="P135" s="34"/>
      <c r="Q135" s="34"/>
      <c r="R135" s="34"/>
      <c r="S135" s="34"/>
      <c r="T135" s="34"/>
      <c r="U135" s="34"/>
      <c r="V135" s="34"/>
      <c r="W135" s="34"/>
    </row>
    <row r="136" spans="1:23" ht="15.75" customHeight="1" x14ac:dyDescent="0.25">
      <c r="A136" s="34"/>
      <c r="B136" s="34"/>
      <c r="C136" s="34"/>
      <c r="D136" s="34"/>
      <c r="E136" s="34"/>
      <c r="F136" s="34"/>
      <c r="G136" s="34"/>
      <c r="H136" s="34"/>
      <c r="I136" s="34"/>
      <c r="J136" s="34"/>
      <c r="K136" s="34"/>
      <c r="M136" s="34"/>
      <c r="N136" s="34"/>
      <c r="O136" s="34"/>
      <c r="P136" s="34"/>
      <c r="Q136" s="34"/>
      <c r="R136" s="34"/>
      <c r="S136" s="34"/>
      <c r="T136" s="34"/>
      <c r="U136" s="34"/>
      <c r="V136" s="34"/>
      <c r="W136" s="34"/>
    </row>
    <row r="137" spans="1:23" ht="15.75" customHeight="1" x14ac:dyDescent="0.25">
      <c r="A137" s="34"/>
      <c r="B137" s="34"/>
      <c r="C137" s="34"/>
      <c r="D137" s="34"/>
      <c r="E137" s="34"/>
      <c r="F137" s="34"/>
      <c r="G137" s="34"/>
      <c r="H137" s="34"/>
      <c r="I137" s="34"/>
      <c r="J137" s="34"/>
      <c r="K137" s="34"/>
      <c r="M137" s="34"/>
      <c r="N137" s="34"/>
      <c r="O137" s="34"/>
      <c r="P137" s="34"/>
      <c r="Q137" s="34"/>
      <c r="R137" s="34"/>
      <c r="S137" s="34"/>
      <c r="T137" s="34"/>
      <c r="U137" s="34"/>
      <c r="V137" s="34"/>
      <c r="W137" s="34"/>
    </row>
    <row r="138" spans="1:23" ht="15.75" customHeight="1" x14ac:dyDescent="0.25">
      <c r="A138" s="34"/>
      <c r="B138" s="34"/>
      <c r="C138" s="34"/>
      <c r="D138" s="34"/>
      <c r="E138" s="34"/>
      <c r="F138" s="34"/>
      <c r="G138" s="34"/>
      <c r="H138" s="34"/>
      <c r="I138" s="34"/>
      <c r="J138" s="34"/>
      <c r="K138" s="34"/>
      <c r="M138" s="34"/>
      <c r="N138" s="34"/>
      <c r="O138" s="34"/>
      <c r="P138" s="34"/>
      <c r="Q138" s="34"/>
      <c r="R138" s="34"/>
      <c r="S138" s="34"/>
      <c r="T138" s="34"/>
      <c r="U138" s="34"/>
      <c r="V138" s="34"/>
      <c r="W138" s="34"/>
    </row>
    <row r="139" spans="1:23" ht="15.75" customHeight="1" x14ac:dyDescent="0.25">
      <c r="A139" s="34"/>
      <c r="B139" s="34"/>
      <c r="C139" s="34"/>
      <c r="D139" s="34"/>
      <c r="E139" s="34"/>
      <c r="F139" s="34"/>
      <c r="G139" s="34"/>
      <c r="H139" s="34"/>
      <c r="I139" s="34"/>
      <c r="J139" s="34"/>
      <c r="K139" s="34"/>
      <c r="M139" s="34"/>
      <c r="N139" s="34"/>
      <c r="O139" s="34"/>
      <c r="P139" s="34"/>
      <c r="Q139" s="34"/>
      <c r="R139" s="34"/>
      <c r="S139" s="34"/>
      <c r="T139" s="34"/>
      <c r="U139" s="34"/>
      <c r="V139" s="34"/>
      <c r="W139" s="34"/>
    </row>
    <row r="140" spans="1:23" ht="15.75" customHeight="1" x14ac:dyDescent="0.25">
      <c r="A140" s="34"/>
      <c r="B140" s="34"/>
      <c r="C140" s="34"/>
      <c r="D140" s="34"/>
      <c r="E140" s="34"/>
      <c r="F140" s="34"/>
      <c r="G140" s="34"/>
      <c r="H140" s="34"/>
      <c r="I140" s="34"/>
      <c r="J140" s="34"/>
      <c r="K140" s="34"/>
      <c r="M140" s="34"/>
      <c r="N140" s="34"/>
      <c r="O140" s="34"/>
      <c r="P140" s="34"/>
      <c r="Q140" s="34"/>
      <c r="R140" s="34"/>
      <c r="S140" s="34"/>
      <c r="T140" s="34"/>
      <c r="U140" s="34"/>
      <c r="V140" s="34"/>
      <c r="W140" s="34"/>
    </row>
    <row r="141" spans="1:23" ht="15.75" customHeight="1" x14ac:dyDescent="0.25">
      <c r="A141" s="34"/>
      <c r="B141" s="34"/>
      <c r="C141" s="34"/>
      <c r="D141" s="34"/>
      <c r="E141" s="34"/>
      <c r="F141" s="34"/>
      <c r="G141" s="34"/>
      <c r="H141" s="34"/>
      <c r="I141" s="34"/>
      <c r="J141" s="34"/>
      <c r="K141" s="34"/>
      <c r="M141" s="34"/>
      <c r="N141" s="34"/>
      <c r="O141" s="34"/>
      <c r="P141" s="34"/>
      <c r="Q141" s="34"/>
      <c r="R141" s="34"/>
      <c r="S141" s="34"/>
      <c r="T141" s="34"/>
      <c r="U141" s="34"/>
      <c r="V141" s="34"/>
      <c r="W141" s="34"/>
    </row>
    <row r="142" spans="1:23" ht="15.75" customHeight="1" x14ac:dyDescent="0.25">
      <c r="A142" s="34"/>
      <c r="B142" s="34"/>
      <c r="C142" s="34"/>
      <c r="D142" s="34"/>
      <c r="E142" s="34"/>
      <c r="F142" s="34"/>
      <c r="G142" s="34"/>
      <c r="H142" s="34"/>
      <c r="I142" s="34"/>
      <c r="J142" s="34"/>
      <c r="K142" s="34"/>
      <c r="M142" s="34"/>
      <c r="N142" s="34"/>
      <c r="O142" s="34"/>
      <c r="P142" s="34"/>
      <c r="Q142" s="34"/>
      <c r="R142" s="34"/>
      <c r="S142" s="34"/>
      <c r="T142" s="34"/>
      <c r="U142" s="34"/>
      <c r="V142" s="34"/>
      <c r="W142" s="34"/>
    </row>
    <row r="143" spans="1:23" ht="15.75" customHeight="1" x14ac:dyDescent="0.25">
      <c r="A143" s="34"/>
      <c r="B143" s="34"/>
      <c r="C143" s="34"/>
      <c r="D143" s="34"/>
      <c r="E143" s="34"/>
      <c r="F143" s="34"/>
      <c r="G143" s="34"/>
      <c r="H143" s="34"/>
      <c r="I143" s="34"/>
      <c r="J143" s="34"/>
      <c r="K143" s="34"/>
      <c r="M143" s="34"/>
      <c r="N143" s="34"/>
      <c r="O143" s="34"/>
      <c r="P143" s="34"/>
      <c r="Q143" s="34"/>
      <c r="R143" s="34"/>
      <c r="S143" s="34"/>
      <c r="T143" s="34"/>
      <c r="U143" s="34"/>
      <c r="V143" s="34"/>
      <c r="W143" s="34"/>
    </row>
    <row r="144" spans="1:23" ht="15.75" customHeight="1" x14ac:dyDescent="0.25">
      <c r="A144" s="34"/>
      <c r="B144" s="34"/>
      <c r="C144" s="34"/>
      <c r="D144" s="34"/>
      <c r="E144" s="34"/>
      <c r="F144" s="34"/>
      <c r="G144" s="34"/>
      <c r="H144" s="34"/>
      <c r="I144" s="34"/>
      <c r="J144" s="34"/>
      <c r="K144" s="34"/>
      <c r="M144" s="34"/>
      <c r="N144" s="34"/>
      <c r="O144" s="34"/>
      <c r="P144" s="34"/>
      <c r="Q144" s="34"/>
      <c r="R144" s="34"/>
      <c r="S144" s="34"/>
      <c r="T144" s="34"/>
      <c r="U144" s="34"/>
      <c r="V144" s="34"/>
      <c r="W144" s="34"/>
    </row>
    <row r="145" spans="1:23" ht="15.75" customHeight="1" x14ac:dyDescent="0.25">
      <c r="A145" s="34"/>
      <c r="B145" s="34"/>
      <c r="C145" s="34"/>
      <c r="D145" s="34"/>
      <c r="E145" s="34"/>
      <c r="F145" s="34"/>
      <c r="G145" s="34"/>
      <c r="H145" s="34"/>
      <c r="I145" s="34"/>
      <c r="J145" s="34"/>
      <c r="K145" s="34"/>
      <c r="M145" s="34"/>
      <c r="N145" s="34"/>
      <c r="O145" s="34"/>
      <c r="P145" s="34"/>
      <c r="Q145" s="34"/>
      <c r="R145" s="34"/>
      <c r="S145" s="34"/>
      <c r="T145" s="34"/>
      <c r="U145" s="34"/>
      <c r="V145" s="34"/>
      <c r="W145" s="34"/>
    </row>
    <row r="146" spans="1:23" ht="15.75" customHeight="1" x14ac:dyDescent="0.25">
      <c r="A146" s="34"/>
      <c r="B146" s="34"/>
      <c r="C146" s="34"/>
      <c r="D146" s="34"/>
      <c r="E146" s="34"/>
      <c r="F146" s="34"/>
      <c r="G146" s="34"/>
      <c r="H146" s="34"/>
      <c r="I146" s="34"/>
      <c r="J146" s="34"/>
      <c r="K146" s="34"/>
      <c r="M146" s="34"/>
      <c r="N146" s="34"/>
      <c r="O146" s="34"/>
      <c r="P146" s="34"/>
      <c r="Q146" s="34"/>
      <c r="R146" s="34"/>
      <c r="S146" s="34"/>
      <c r="T146" s="34"/>
      <c r="U146" s="34"/>
      <c r="V146" s="34"/>
      <c r="W146" s="34"/>
    </row>
    <row r="147" spans="1:23" ht="15.75" customHeight="1" x14ac:dyDescent="0.25">
      <c r="A147" s="34"/>
      <c r="B147" s="34"/>
      <c r="C147" s="34"/>
      <c r="D147" s="34"/>
      <c r="E147" s="34"/>
      <c r="F147" s="34"/>
      <c r="G147" s="34"/>
      <c r="H147" s="34"/>
      <c r="I147" s="34"/>
      <c r="J147" s="34"/>
      <c r="K147" s="34"/>
      <c r="M147" s="34"/>
      <c r="N147" s="34"/>
      <c r="O147" s="34"/>
      <c r="P147" s="34"/>
      <c r="Q147" s="34"/>
      <c r="R147" s="34"/>
      <c r="S147" s="34"/>
      <c r="T147" s="34"/>
      <c r="U147" s="34"/>
      <c r="V147" s="34"/>
      <c r="W147" s="34"/>
    </row>
    <row r="148" spans="1:23" ht="15.75" customHeight="1" x14ac:dyDescent="0.25">
      <c r="A148" s="34"/>
      <c r="B148" s="34"/>
      <c r="C148" s="34"/>
      <c r="D148" s="34"/>
      <c r="E148" s="34"/>
      <c r="F148" s="34"/>
      <c r="G148" s="34"/>
      <c r="H148" s="34"/>
      <c r="I148" s="34"/>
      <c r="J148" s="34"/>
      <c r="K148" s="34"/>
      <c r="M148" s="34"/>
      <c r="N148" s="34"/>
      <c r="O148" s="34"/>
      <c r="P148" s="34"/>
      <c r="Q148" s="34"/>
      <c r="R148" s="34"/>
      <c r="S148" s="34"/>
      <c r="T148" s="34"/>
      <c r="U148" s="34"/>
      <c r="V148" s="34"/>
      <c r="W148" s="34"/>
    </row>
    <row r="149" spans="1:23" ht="15.75" customHeight="1" x14ac:dyDescent="0.25">
      <c r="A149" s="34"/>
      <c r="B149" s="34"/>
      <c r="C149" s="34"/>
      <c r="D149" s="34"/>
      <c r="E149" s="34"/>
      <c r="F149" s="34"/>
      <c r="G149" s="34"/>
      <c r="H149" s="34"/>
      <c r="I149" s="34"/>
      <c r="J149" s="34"/>
      <c r="K149" s="34"/>
      <c r="M149" s="34"/>
      <c r="N149" s="34"/>
      <c r="O149" s="34"/>
      <c r="P149" s="34"/>
      <c r="Q149" s="34"/>
      <c r="R149" s="34"/>
      <c r="S149" s="34"/>
      <c r="T149" s="34"/>
      <c r="U149" s="34"/>
      <c r="V149" s="34"/>
      <c r="W149" s="34"/>
    </row>
    <row r="150" spans="1:23" ht="15.75" customHeight="1" x14ac:dyDescent="0.25">
      <c r="A150" s="34"/>
      <c r="B150" s="34"/>
      <c r="C150" s="34"/>
      <c r="D150" s="34"/>
      <c r="E150" s="34"/>
      <c r="F150" s="34"/>
      <c r="G150" s="34"/>
      <c r="H150" s="34"/>
      <c r="I150" s="34"/>
      <c r="J150" s="34"/>
      <c r="K150" s="34"/>
      <c r="M150" s="34"/>
      <c r="N150" s="34"/>
      <c r="O150" s="34"/>
      <c r="P150" s="34"/>
      <c r="Q150" s="34"/>
      <c r="R150" s="34"/>
      <c r="S150" s="34"/>
      <c r="T150" s="34"/>
      <c r="U150" s="34"/>
      <c r="V150" s="34"/>
      <c r="W150" s="34"/>
    </row>
    <row r="151" spans="1:23" ht="15.75" customHeight="1" x14ac:dyDescent="0.25">
      <c r="A151" s="34"/>
      <c r="B151" s="34"/>
      <c r="C151" s="34"/>
      <c r="D151" s="34"/>
      <c r="E151" s="34"/>
      <c r="F151" s="34"/>
      <c r="G151" s="34"/>
      <c r="H151" s="34"/>
      <c r="I151" s="34"/>
      <c r="J151" s="34"/>
      <c r="K151" s="34"/>
      <c r="M151" s="34"/>
      <c r="N151" s="34"/>
      <c r="O151" s="34"/>
      <c r="P151" s="34"/>
      <c r="Q151" s="34"/>
      <c r="R151" s="34"/>
      <c r="S151" s="34"/>
      <c r="T151" s="34"/>
      <c r="U151" s="34"/>
      <c r="V151" s="34"/>
      <c r="W151" s="34"/>
    </row>
    <row r="152" spans="1:23" ht="15.75" customHeight="1" x14ac:dyDescent="0.25">
      <c r="A152" s="34"/>
      <c r="B152" s="34"/>
      <c r="C152" s="34"/>
      <c r="D152" s="34"/>
      <c r="E152" s="34"/>
      <c r="F152" s="34"/>
      <c r="G152" s="34"/>
      <c r="H152" s="34"/>
      <c r="I152" s="34"/>
      <c r="J152" s="34"/>
      <c r="K152" s="34"/>
      <c r="M152" s="34"/>
      <c r="N152" s="34"/>
      <c r="O152" s="34"/>
      <c r="P152" s="34"/>
      <c r="Q152" s="34"/>
      <c r="R152" s="34"/>
      <c r="S152" s="34"/>
      <c r="T152" s="34"/>
      <c r="U152" s="34"/>
      <c r="V152" s="34"/>
      <c r="W152" s="34"/>
    </row>
    <row r="153" spans="1:23" ht="15.75" customHeight="1" x14ac:dyDescent="0.25">
      <c r="A153" s="34"/>
      <c r="B153" s="34"/>
      <c r="C153" s="34"/>
      <c r="D153" s="34"/>
      <c r="E153" s="34"/>
      <c r="F153" s="34"/>
      <c r="G153" s="34"/>
      <c r="H153" s="34"/>
      <c r="I153" s="34"/>
      <c r="J153" s="34"/>
      <c r="K153" s="34"/>
      <c r="M153" s="34"/>
      <c r="N153" s="34"/>
      <c r="O153" s="34"/>
      <c r="P153" s="34"/>
      <c r="Q153" s="34"/>
      <c r="R153" s="34"/>
      <c r="S153" s="34"/>
      <c r="T153" s="34"/>
      <c r="U153" s="34"/>
      <c r="V153" s="34"/>
      <c r="W153" s="34"/>
    </row>
    <row r="154" spans="1:23" ht="15.75" customHeight="1" x14ac:dyDescent="0.25">
      <c r="A154" s="34"/>
      <c r="B154" s="34"/>
      <c r="C154" s="34"/>
      <c r="D154" s="34"/>
      <c r="E154" s="34"/>
      <c r="F154" s="34"/>
      <c r="G154" s="34"/>
      <c r="H154" s="34"/>
      <c r="I154" s="34"/>
      <c r="J154" s="34"/>
      <c r="K154" s="34"/>
      <c r="M154" s="34"/>
      <c r="N154" s="34"/>
      <c r="O154" s="34"/>
      <c r="P154" s="34"/>
      <c r="Q154" s="34"/>
      <c r="R154" s="34"/>
      <c r="S154" s="34"/>
      <c r="T154" s="34"/>
      <c r="U154" s="34"/>
      <c r="V154" s="34"/>
      <c r="W154" s="34"/>
    </row>
    <row r="155" spans="1:23" ht="15.75" customHeight="1" x14ac:dyDescent="0.25">
      <c r="A155" s="34"/>
      <c r="B155" s="34"/>
      <c r="C155" s="34"/>
      <c r="D155" s="34"/>
      <c r="E155" s="34"/>
      <c r="F155" s="34"/>
      <c r="G155" s="34"/>
      <c r="H155" s="34"/>
      <c r="I155" s="34"/>
      <c r="J155" s="34"/>
      <c r="K155" s="34"/>
      <c r="M155" s="34"/>
      <c r="N155" s="34"/>
      <c r="O155" s="34"/>
      <c r="P155" s="34"/>
      <c r="Q155" s="34"/>
      <c r="R155" s="34"/>
      <c r="S155" s="34"/>
      <c r="T155" s="34"/>
      <c r="U155" s="34"/>
      <c r="V155" s="34"/>
      <c r="W155" s="34"/>
    </row>
    <row r="156" spans="1:23" ht="15.75" customHeight="1" x14ac:dyDescent="0.25">
      <c r="A156" s="34"/>
      <c r="B156" s="34"/>
      <c r="C156" s="34"/>
      <c r="D156" s="34"/>
      <c r="E156" s="34"/>
      <c r="F156" s="34"/>
      <c r="G156" s="34"/>
      <c r="H156" s="34"/>
      <c r="I156" s="34"/>
      <c r="J156" s="34"/>
      <c r="K156" s="34"/>
      <c r="M156" s="34"/>
      <c r="N156" s="34"/>
      <c r="O156" s="34"/>
      <c r="P156" s="34"/>
      <c r="Q156" s="34"/>
      <c r="R156" s="34"/>
      <c r="S156" s="34"/>
      <c r="T156" s="34"/>
      <c r="U156" s="34"/>
      <c r="V156" s="34"/>
      <c r="W156" s="34"/>
    </row>
    <row r="157" spans="1:23" ht="15.75" customHeight="1" x14ac:dyDescent="0.25">
      <c r="A157" s="34"/>
      <c r="B157" s="34"/>
      <c r="C157" s="34"/>
      <c r="D157" s="34"/>
      <c r="E157" s="34"/>
      <c r="F157" s="34"/>
      <c r="G157" s="34"/>
      <c r="H157" s="34"/>
      <c r="I157" s="34"/>
      <c r="J157" s="34"/>
      <c r="K157" s="34"/>
      <c r="M157" s="34"/>
      <c r="N157" s="34"/>
      <c r="O157" s="34"/>
      <c r="P157" s="34"/>
      <c r="Q157" s="34"/>
      <c r="R157" s="34"/>
      <c r="S157" s="34"/>
      <c r="T157" s="34"/>
      <c r="U157" s="34"/>
      <c r="V157" s="34"/>
      <c r="W157" s="34"/>
    </row>
    <row r="158" spans="1:23" ht="15.75" customHeight="1" x14ac:dyDescent="0.25">
      <c r="A158" s="34"/>
      <c r="B158" s="34"/>
      <c r="C158" s="34"/>
      <c r="D158" s="34"/>
      <c r="E158" s="34"/>
      <c r="F158" s="34"/>
      <c r="G158" s="34"/>
      <c r="H158" s="34"/>
      <c r="I158" s="34"/>
      <c r="J158" s="34"/>
      <c r="K158" s="34"/>
      <c r="M158" s="34"/>
      <c r="N158" s="34"/>
      <c r="O158" s="34"/>
      <c r="P158" s="34"/>
      <c r="Q158" s="34"/>
      <c r="R158" s="34"/>
      <c r="S158" s="34"/>
      <c r="T158" s="34"/>
      <c r="U158" s="34"/>
      <c r="V158" s="34"/>
      <c r="W158" s="34"/>
    </row>
    <row r="159" spans="1:23" ht="15.75" customHeight="1" x14ac:dyDescent="0.25">
      <c r="A159" s="34"/>
      <c r="B159" s="34"/>
      <c r="C159" s="34"/>
      <c r="D159" s="34"/>
      <c r="E159" s="34"/>
      <c r="F159" s="34"/>
      <c r="G159" s="34"/>
      <c r="H159" s="34"/>
      <c r="I159" s="34"/>
      <c r="J159" s="34"/>
      <c r="K159" s="34"/>
      <c r="M159" s="34"/>
      <c r="N159" s="34"/>
      <c r="O159" s="34"/>
      <c r="P159" s="34"/>
      <c r="Q159" s="34"/>
      <c r="R159" s="34"/>
      <c r="S159" s="34"/>
      <c r="T159" s="34"/>
      <c r="U159" s="34"/>
      <c r="V159" s="34"/>
      <c r="W159" s="34"/>
    </row>
    <row r="160" spans="1:23" ht="15.75" customHeight="1" x14ac:dyDescent="0.25">
      <c r="A160" s="34"/>
      <c r="B160" s="34"/>
      <c r="C160" s="34"/>
      <c r="D160" s="34"/>
      <c r="E160" s="34"/>
      <c r="F160" s="34"/>
      <c r="G160" s="34"/>
      <c r="H160" s="34"/>
      <c r="I160" s="34"/>
      <c r="J160" s="34"/>
      <c r="K160" s="34"/>
      <c r="M160" s="34"/>
      <c r="N160" s="34"/>
      <c r="O160" s="34"/>
      <c r="P160" s="34"/>
      <c r="Q160" s="34"/>
      <c r="R160" s="34"/>
      <c r="S160" s="34"/>
      <c r="T160" s="34"/>
      <c r="U160" s="34"/>
      <c r="V160" s="34"/>
      <c r="W160" s="34"/>
    </row>
    <row r="161" spans="1:23" ht="15.75" customHeight="1" x14ac:dyDescent="0.25">
      <c r="A161" s="34"/>
      <c r="B161" s="34"/>
      <c r="C161" s="34"/>
      <c r="D161" s="34"/>
      <c r="E161" s="34"/>
      <c r="F161" s="34"/>
      <c r="G161" s="34"/>
      <c r="H161" s="34"/>
      <c r="I161" s="34"/>
      <c r="J161" s="34"/>
      <c r="K161" s="34"/>
      <c r="M161" s="34"/>
      <c r="N161" s="34"/>
      <c r="O161" s="34"/>
      <c r="P161" s="34"/>
      <c r="Q161" s="34"/>
      <c r="R161" s="34"/>
      <c r="S161" s="34"/>
      <c r="T161" s="34"/>
      <c r="U161" s="34"/>
      <c r="V161" s="34"/>
      <c r="W161" s="34"/>
    </row>
    <row r="162" spans="1:23" ht="15.75" customHeight="1" x14ac:dyDescent="0.25">
      <c r="A162" s="34"/>
      <c r="B162" s="34"/>
      <c r="C162" s="34"/>
      <c r="D162" s="34"/>
      <c r="E162" s="34"/>
      <c r="F162" s="34"/>
      <c r="G162" s="34"/>
      <c r="H162" s="34"/>
      <c r="I162" s="34"/>
      <c r="J162" s="34"/>
      <c r="K162" s="34"/>
      <c r="M162" s="34"/>
      <c r="N162" s="34"/>
      <c r="O162" s="34"/>
      <c r="P162" s="34"/>
      <c r="Q162" s="34"/>
      <c r="R162" s="34"/>
      <c r="S162" s="34"/>
      <c r="T162" s="34"/>
      <c r="U162" s="34"/>
      <c r="V162" s="34"/>
      <c r="W162" s="34"/>
    </row>
    <row r="163" spans="1:23" ht="15.75" customHeight="1" x14ac:dyDescent="0.25">
      <c r="A163" s="34"/>
      <c r="B163" s="34"/>
      <c r="C163" s="34"/>
      <c r="D163" s="34"/>
      <c r="E163" s="34"/>
      <c r="F163" s="34"/>
      <c r="G163" s="34"/>
      <c r="H163" s="34"/>
      <c r="I163" s="34"/>
      <c r="J163" s="34"/>
      <c r="K163" s="34"/>
      <c r="M163" s="34"/>
      <c r="N163" s="34"/>
      <c r="O163" s="34"/>
      <c r="P163" s="34"/>
      <c r="Q163" s="34"/>
      <c r="R163" s="34"/>
      <c r="S163" s="34"/>
      <c r="T163" s="34"/>
      <c r="U163" s="34"/>
      <c r="V163" s="34"/>
      <c r="W163" s="34"/>
    </row>
    <row r="164" spans="1:23" ht="15.75" customHeight="1" x14ac:dyDescent="0.25">
      <c r="A164" s="34"/>
      <c r="B164" s="34"/>
      <c r="C164" s="34"/>
      <c r="D164" s="34"/>
      <c r="E164" s="34"/>
      <c r="F164" s="34"/>
      <c r="G164" s="34"/>
      <c r="H164" s="34"/>
      <c r="I164" s="34"/>
      <c r="J164" s="34"/>
      <c r="K164" s="34"/>
      <c r="M164" s="34"/>
      <c r="N164" s="34"/>
      <c r="O164" s="34"/>
      <c r="P164" s="34"/>
      <c r="Q164" s="34"/>
      <c r="R164" s="34"/>
      <c r="S164" s="34"/>
      <c r="T164" s="34"/>
      <c r="U164" s="34"/>
      <c r="V164" s="34"/>
      <c r="W164" s="34"/>
    </row>
    <row r="165" spans="1:23" ht="15.75" customHeight="1" x14ac:dyDescent="0.25">
      <c r="A165" s="34"/>
      <c r="B165" s="34"/>
      <c r="C165" s="34"/>
      <c r="D165" s="34"/>
      <c r="E165" s="34"/>
      <c r="F165" s="34"/>
      <c r="G165" s="34"/>
      <c r="H165" s="34"/>
      <c r="I165" s="34"/>
      <c r="J165" s="34"/>
      <c r="K165" s="34"/>
      <c r="M165" s="34"/>
      <c r="N165" s="34"/>
      <c r="O165" s="34"/>
      <c r="P165" s="34"/>
      <c r="Q165" s="34"/>
      <c r="R165" s="34"/>
      <c r="S165" s="34"/>
      <c r="T165" s="34"/>
      <c r="U165" s="34"/>
      <c r="V165" s="34"/>
      <c r="W165" s="34"/>
    </row>
    <row r="166" spans="1:23" ht="15.75" customHeight="1" x14ac:dyDescent="0.25">
      <c r="A166" s="34"/>
      <c r="B166" s="34"/>
      <c r="C166" s="34"/>
      <c r="D166" s="34"/>
      <c r="E166" s="34"/>
      <c r="F166" s="34"/>
      <c r="G166" s="34"/>
      <c r="H166" s="34"/>
      <c r="I166" s="34"/>
      <c r="J166" s="34"/>
      <c r="K166" s="34"/>
      <c r="M166" s="34"/>
      <c r="N166" s="34"/>
      <c r="O166" s="34"/>
      <c r="P166" s="34"/>
      <c r="Q166" s="34"/>
      <c r="R166" s="34"/>
      <c r="S166" s="34"/>
      <c r="T166" s="34"/>
      <c r="U166" s="34"/>
      <c r="V166" s="34"/>
      <c r="W166" s="34"/>
    </row>
    <row r="167" spans="1:23" ht="15.75" customHeight="1" x14ac:dyDescent="0.25">
      <c r="A167" s="34"/>
      <c r="B167" s="34"/>
      <c r="C167" s="34"/>
      <c r="D167" s="34"/>
      <c r="E167" s="34"/>
      <c r="F167" s="34"/>
      <c r="G167" s="34"/>
      <c r="H167" s="34"/>
      <c r="I167" s="34"/>
      <c r="J167" s="34"/>
      <c r="K167" s="34"/>
      <c r="M167" s="34"/>
      <c r="N167" s="34"/>
      <c r="O167" s="34"/>
      <c r="P167" s="34"/>
      <c r="Q167" s="34"/>
      <c r="R167" s="34"/>
      <c r="S167" s="34"/>
      <c r="T167" s="34"/>
      <c r="U167" s="34"/>
      <c r="V167" s="34"/>
      <c r="W167" s="34"/>
    </row>
    <row r="168" spans="1:23" ht="15.75" customHeight="1" x14ac:dyDescent="0.25">
      <c r="A168" s="34"/>
      <c r="B168" s="34"/>
      <c r="C168" s="34"/>
      <c r="D168" s="34"/>
      <c r="E168" s="34"/>
      <c r="F168" s="34"/>
      <c r="G168" s="34"/>
      <c r="H168" s="34"/>
      <c r="I168" s="34"/>
      <c r="J168" s="34"/>
      <c r="K168" s="34"/>
      <c r="M168" s="34"/>
      <c r="N168" s="34"/>
      <c r="O168" s="34"/>
      <c r="P168" s="34"/>
      <c r="Q168" s="34"/>
      <c r="R168" s="34"/>
      <c r="S168" s="34"/>
      <c r="T168" s="34"/>
      <c r="U168" s="34"/>
      <c r="V168" s="34"/>
      <c r="W168" s="34"/>
    </row>
    <row r="169" spans="1:23" ht="15.75" customHeight="1" x14ac:dyDescent="0.25">
      <c r="A169" s="34"/>
      <c r="B169" s="34"/>
      <c r="C169" s="34"/>
      <c r="D169" s="34"/>
      <c r="E169" s="34"/>
      <c r="F169" s="34"/>
      <c r="G169" s="34"/>
      <c r="H169" s="34"/>
      <c r="I169" s="34"/>
      <c r="J169" s="34"/>
      <c r="K169" s="34"/>
      <c r="M169" s="34"/>
      <c r="N169" s="34"/>
      <c r="O169" s="34"/>
      <c r="P169" s="34"/>
      <c r="Q169" s="34"/>
      <c r="R169" s="34"/>
      <c r="S169" s="34"/>
      <c r="T169" s="34"/>
      <c r="U169" s="34"/>
      <c r="V169" s="34"/>
      <c r="W169" s="34"/>
    </row>
    <row r="170" spans="1:23" ht="15.75" customHeight="1" x14ac:dyDescent="0.25">
      <c r="A170" s="34"/>
      <c r="B170" s="34"/>
      <c r="C170" s="34"/>
      <c r="D170" s="34"/>
      <c r="E170" s="34"/>
      <c r="F170" s="34"/>
      <c r="G170" s="34"/>
      <c r="H170" s="34"/>
      <c r="I170" s="34"/>
      <c r="J170" s="34"/>
      <c r="K170" s="34"/>
      <c r="M170" s="34"/>
      <c r="N170" s="34"/>
      <c r="O170" s="34"/>
      <c r="P170" s="34"/>
      <c r="Q170" s="34"/>
      <c r="R170" s="34"/>
      <c r="S170" s="34"/>
      <c r="T170" s="34"/>
      <c r="U170" s="34"/>
      <c r="V170" s="34"/>
      <c r="W170" s="34"/>
    </row>
    <row r="171" spans="1:23" ht="15.75" customHeight="1" x14ac:dyDescent="0.25">
      <c r="A171" s="34"/>
      <c r="B171" s="34"/>
      <c r="C171" s="34"/>
      <c r="D171" s="34"/>
      <c r="E171" s="34"/>
      <c r="F171" s="34"/>
      <c r="G171" s="34"/>
      <c r="H171" s="34"/>
      <c r="I171" s="34"/>
      <c r="J171" s="34"/>
      <c r="K171" s="34"/>
      <c r="M171" s="34"/>
      <c r="N171" s="34"/>
      <c r="O171" s="34"/>
      <c r="P171" s="34"/>
      <c r="Q171" s="34"/>
      <c r="R171" s="34"/>
      <c r="S171" s="34"/>
      <c r="T171" s="34"/>
      <c r="U171" s="34"/>
      <c r="V171" s="34"/>
      <c r="W171" s="34"/>
    </row>
    <row r="172" spans="1:23" ht="15.75" customHeight="1" x14ac:dyDescent="0.25">
      <c r="A172" s="34"/>
      <c r="B172" s="34"/>
      <c r="C172" s="34"/>
      <c r="D172" s="34"/>
      <c r="E172" s="34"/>
      <c r="F172" s="34"/>
      <c r="G172" s="34"/>
      <c r="H172" s="34"/>
      <c r="I172" s="34"/>
      <c r="J172" s="34"/>
      <c r="K172" s="34"/>
      <c r="M172" s="34"/>
      <c r="N172" s="34"/>
      <c r="O172" s="34"/>
      <c r="P172" s="34"/>
      <c r="Q172" s="34"/>
      <c r="R172" s="34"/>
      <c r="S172" s="34"/>
      <c r="T172" s="34"/>
      <c r="U172" s="34"/>
      <c r="V172" s="34"/>
      <c r="W172" s="34"/>
    </row>
    <row r="173" spans="1:23" ht="15.75" customHeight="1" x14ac:dyDescent="0.25">
      <c r="A173" s="34"/>
      <c r="B173" s="34"/>
      <c r="C173" s="34"/>
      <c r="D173" s="34"/>
      <c r="E173" s="34"/>
      <c r="F173" s="34"/>
      <c r="G173" s="34"/>
      <c r="H173" s="34"/>
      <c r="I173" s="34"/>
      <c r="J173" s="34"/>
      <c r="K173" s="34"/>
      <c r="M173" s="34"/>
      <c r="N173" s="34"/>
      <c r="O173" s="34"/>
      <c r="P173" s="34"/>
      <c r="Q173" s="34"/>
      <c r="R173" s="34"/>
      <c r="S173" s="34"/>
      <c r="T173" s="34"/>
      <c r="U173" s="34"/>
      <c r="V173" s="34"/>
      <c r="W173" s="34"/>
    </row>
    <row r="174" spans="1:23" ht="15.75" customHeight="1" x14ac:dyDescent="0.25">
      <c r="A174" s="34"/>
      <c r="B174" s="34"/>
      <c r="C174" s="34"/>
      <c r="D174" s="34"/>
      <c r="E174" s="34"/>
      <c r="F174" s="34"/>
      <c r="G174" s="34"/>
      <c r="H174" s="34"/>
      <c r="I174" s="34"/>
      <c r="J174" s="34"/>
      <c r="K174" s="34"/>
      <c r="M174" s="34"/>
      <c r="N174" s="34"/>
      <c r="O174" s="34"/>
      <c r="P174" s="34"/>
      <c r="Q174" s="34"/>
      <c r="R174" s="34"/>
      <c r="S174" s="34"/>
      <c r="T174" s="34"/>
      <c r="U174" s="34"/>
      <c r="V174" s="34"/>
      <c r="W174" s="34"/>
    </row>
    <row r="175" spans="1:23" ht="15.75" customHeight="1" x14ac:dyDescent="0.25">
      <c r="A175" s="34"/>
      <c r="B175" s="34"/>
      <c r="C175" s="34"/>
      <c r="D175" s="34"/>
      <c r="E175" s="34"/>
      <c r="F175" s="34"/>
      <c r="G175" s="34"/>
      <c r="H175" s="34"/>
      <c r="I175" s="34"/>
      <c r="J175" s="34"/>
      <c r="K175" s="34"/>
      <c r="M175" s="34"/>
      <c r="N175" s="34"/>
      <c r="O175" s="34"/>
      <c r="P175" s="34"/>
      <c r="Q175" s="34"/>
      <c r="R175" s="34"/>
      <c r="S175" s="34"/>
      <c r="T175" s="34"/>
      <c r="U175" s="34"/>
      <c r="V175" s="34"/>
      <c r="W175" s="34"/>
    </row>
    <row r="176" spans="1:23" ht="15.75" customHeight="1" x14ac:dyDescent="0.25">
      <c r="A176" s="34"/>
      <c r="B176" s="34"/>
      <c r="C176" s="34"/>
      <c r="D176" s="34"/>
      <c r="E176" s="34"/>
      <c r="F176" s="34"/>
      <c r="G176" s="34"/>
      <c r="H176" s="34"/>
      <c r="I176" s="34"/>
      <c r="J176" s="34"/>
      <c r="K176" s="34"/>
      <c r="M176" s="34"/>
      <c r="N176" s="34"/>
      <c r="O176" s="34"/>
      <c r="P176" s="34"/>
      <c r="Q176" s="34"/>
      <c r="R176" s="34"/>
      <c r="S176" s="34"/>
      <c r="T176" s="34"/>
      <c r="U176" s="34"/>
      <c r="V176" s="34"/>
      <c r="W176" s="34"/>
    </row>
    <row r="177" spans="1:23" ht="15.75" customHeight="1" x14ac:dyDescent="0.25">
      <c r="A177" s="34"/>
      <c r="B177" s="34"/>
      <c r="C177" s="34"/>
      <c r="D177" s="34"/>
      <c r="E177" s="34"/>
      <c r="F177" s="34"/>
      <c r="G177" s="34"/>
      <c r="H177" s="34"/>
      <c r="I177" s="34"/>
      <c r="J177" s="34"/>
      <c r="K177" s="34"/>
      <c r="M177" s="34"/>
      <c r="N177" s="34"/>
      <c r="O177" s="34"/>
      <c r="P177" s="34"/>
      <c r="Q177" s="34"/>
      <c r="R177" s="34"/>
      <c r="S177" s="34"/>
      <c r="T177" s="34"/>
      <c r="U177" s="34"/>
      <c r="V177" s="34"/>
      <c r="W177" s="34"/>
    </row>
    <row r="178" spans="1:23" ht="15.75" customHeight="1" x14ac:dyDescent="0.25">
      <c r="A178" s="34"/>
      <c r="B178" s="34"/>
      <c r="C178" s="34"/>
      <c r="D178" s="34"/>
      <c r="E178" s="34"/>
      <c r="F178" s="34"/>
      <c r="G178" s="34"/>
      <c r="H178" s="34"/>
      <c r="I178" s="34"/>
      <c r="J178" s="34"/>
      <c r="K178" s="34"/>
      <c r="M178" s="34"/>
      <c r="N178" s="34"/>
      <c r="O178" s="34"/>
      <c r="P178" s="34"/>
      <c r="Q178" s="34"/>
      <c r="R178" s="34"/>
      <c r="S178" s="34"/>
      <c r="T178" s="34"/>
      <c r="U178" s="34"/>
      <c r="V178" s="34"/>
      <c r="W178" s="34"/>
    </row>
    <row r="179" spans="1:23" ht="15.75" customHeight="1" x14ac:dyDescent="0.25">
      <c r="A179" s="34"/>
      <c r="B179" s="34"/>
      <c r="C179" s="34"/>
      <c r="D179" s="34"/>
      <c r="E179" s="34"/>
      <c r="F179" s="34"/>
      <c r="G179" s="34"/>
      <c r="H179" s="34"/>
      <c r="I179" s="34"/>
      <c r="J179" s="34"/>
      <c r="K179" s="34"/>
      <c r="M179" s="34"/>
      <c r="N179" s="34"/>
      <c r="O179" s="34"/>
      <c r="P179" s="34"/>
      <c r="Q179" s="34"/>
      <c r="R179" s="34"/>
      <c r="S179" s="34"/>
      <c r="T179" s="34"/>
      <c r="U179" s="34"/>
      <c r="V179" s="34"/>
      <c r="W179" s="34"/>
    </row>
    <row r="180" spans="1:23" ht="15.75" customHeight="1" x14ac:dyDescent="0.25">
      <c r="A180" s="34"/>
      <c r="B180" s="34"/>
      <c r="C180" s="34"/>
      <c r="D180" s="34"/>
      <c r="E180" s="34"/>
      <c r="F180" s="34"/>
      <c r="G180" s="34"/>
      <c r="H180" s="34"/>
      <c r="I180" s="34"/>
      <c r="J180" s="34"/>
      <c r="K180" s="34"/>
      <c r="M180" s="34"/>
      <c r="N180" s="34"/>
      <c r="O180" s="34"/>
      <c r="P180" s="34"/>
      <c r="Q180" s="34"/>
      <c r="R180" s="34"/>
      <c r="S180" s="34"/>
      <c r="T180" s="34"/>
      <c r="U180" s="34"/>
      <c r="V180" s="34"/>
      <c r="W180" s="34"/>
    </row>
    <row r="181" spans="1:23" ht="15.75" customHeight="1" x14ac:dyDescent="0.25">
      <c r="A181" s="34"/>
      <c r="B181" s="34"/>
      <c r="C181" s="34"/>
      <c r="D181" s="34"/>
      <c r="E181" s="34"/>
      <c r="F181" s="34"/>
      <c r="G181" s="34"/>
      <c r="H181" s="34"/>
      <c r="I181" s="34"/>
      <c r="J181" s="34"/>
      <c r="K181" s="34"/>
      <c r="M181" s="34"/>
      <c r="N181" s="34"/>
      <c r="O181" s="34"/>
      <c r="P181" s="34"/>
      <c r="Q181" s="34"/>
      <c r="R181" s="34"/>
      <c r="S181" s="34"/>
      <c r="T181" s="34"/>
      <c r="U181" s="34"/>
      <c r="V181" s="34"/>
      <c r="W181" s="34"/>
    </row>
    <row r="182" spans="1:23" ht="15.75" customHeight="1" x14ac:dyDescent="0.25">
      <c r="A182" s="34"/>
      <c r="B182" s="34"/>
      <c r="C182" s="34"/>
      <c r="D182" s="34"/>
      <c r="E182" s="34"/>
      <c r="F182" s="34"/>
      <c r="G182" s="34"/>
      <c r="H182" s="34"/>
      <c r="I182" s="34"/>
      <c r="J182" s="34"/>
      <c r="K182" s="34"/>
      <c r="M182" s="34"/>
      <c r="N182" s="34"/>
      <c r="O182" s="34"/>
      <c r="P182" s="34"/>
      <c r="Q182" s="34"/>
      <c r="R182" s="34"/>
      <c r="S182" s="34"/>
      <c r="T182" s="34"/>
      <c r="U182" s="34"/>
      <c r="V182" s="34"/>
      <c r="W182" s="34"/>
    </row>
    <row r="183" spans="1:23" ht="15.75" customHeight="1" x14ac:dyDescent="0.25">
      <c r="A183" s="34"/>
      <c r="B183" s="34"/>
      <c r="C183" s="34"/>
      <c r="D183" s="34"/>
      <c r="E183" s="34"/>
      <c r="F183" s="34"/>
      <c r="G183" s="34"/>
      <c r="H183" s="34"/>
      <c r="I183" s="34"/>
      <c r="J183" s="34"/>
      <c r="K183" s="34"/>
      <c r="M183" s="34"/>
      <c r="N183" s="34"/>
      <c r="O183" s="34"/>
      <c r="P183" s="34"/>
      <c r="Q183" s="34"/>
      <c r="R183" s="34"/>
      <c r="S183" s="34"/>
      <c r="T183" s="34"/>
      <c r="U183" s="34"/>
      <c r="V183" s="34"/>
      <c r="W183" s="34"/>
    </row>
    <row r="184" spans="1:23" ht="15.75" customHeight="1" x14ac:dyDescent="0.25">
      <c r="A184" s="34"/>
      <c r="B184" s="34"/>
      <c r="C184" s="34"/>
      <c r="D184" s="34"/>
      <c r="E184" s="34"/>
      <c r="F184" s="34"/>
      <c r="G184" s="34"/>
      <c r="H184" s="34"/>
      <c r="I184" s="34"/>
      <c r="J184" s="34"/>
      <c r="K184" s="34"/>
      <c r="M184" s="34"/>
      <c r="N184" s="34"/>
      <c r="O184" s="34"/>
      <c r="P184" s="34"/>
      <c r="Q184" s="34"/>
      <c r="R184" s="34"/>
      <c r="S184" s="34"/>
      <c r="T184" s="34"/>
      <c r="U184" s="34"/>
      <c r="V184" s="34"/>
      <c r="W184" s="34"/>
    </row>
    <row r="185" spans="1:23" ht="15.75" customHeight="1" x14ac:dyDescent="0.25">
      <c r="A185" s="34"/>
      <c r="B185" s="34"/>
      <c r="C185" s="34"/>
      <c r="D185" s="34"/>
      <c r="E185" s="34"/>
      <c r="F185" s="34"/>
      <c r="G185" s="34"/>
      <c r="H185" s="34"/>
      <c r="I185" s="34"/>
      <c r="J185" s="34"/>
      <c r="K185" s="34"/>
      <c r="M185" s="34"/>
      <c r="N185" s="34"/>
      <c r="O185" s="34"/>
      <c r="P185" s="34"/>
      <c r="Q185" s="34"/>
      <c r="R185" s="34"/>
      <c r="S185" s="34"/>
      <c r="T185" s="34"/>
      <c r="U185" s="34"/>
      <c r="V185" s="34"/>
      <c r="W185" s="34"/>
    </row>
    <row r="186" spans="1:23" ht="15.75" customHeight="1" x14ac:dyDescent="0.25">
      <c r="A186" s="34"/>
      <c r="B186" s="34"/>
      <c r="C186" s="34"/>
      <c r="D186" s="34"/>
      <c r="E186" s="34"/>
      <c r="F186" s="34"/>
      <c r="G186" s="34"/>
      <c r="H186" s="34"/>
      <c r="I186" s="34"/>
      <c r="J186" s="34"/>
      <c r="K186" s="34"/>
      <c r="M186" s="34"/>
      <c r="N186" s="34"/>
      <c r="O186" s="34"/>
      <c r="P186" s="34"/>
      <c r="Q186" s="34"/>
      <c r="R186" s="34"/>
      <c r="S186" s="34"/>
      <c r="T186" s="34"/>
      <c r="U186" s="34"/>
      <c r="V186" s="34"/>
      <c r="W186" s="34"/>
    </row>
    <row r="187" spans="1:23" ht="15.75" customHeight="1" x14ac:dyDescent="0.25">
      <c r="A187" s="34"/>
      <c r="B187" s="34"/>
      <c r="C187" s="34"/>
      <c r="D187" s="34"/>
      <c r="E187" s="34"/>
      <c r="F187" s="34"/>
      <c r="G187" s="34"/>
      <c r="H187" s="34"/>
      <c r="I187" s="34"/>
      <c r="J187" s="34"/>
      <c r="K187" s="34"/>
      <c r="M187" s="34"/>
      <c r="N187" s="34"/>
      <c r="O187" s="34"/>
      <c r="P187" s="34"/>
      <c r="Q187" s="34"/>
      <c r="R187" s="34"/>
      <c r="S187" s="34"/>
      <c r="T187" s="34"/>
      <c r="U187" s="34"/>
      <c r="V187" s="34"/>
      <c r="W187" s="34"/>
    </row>
    <row r="188" spans="1:23" ht="15.75" customHeight="1" x14ac:dyDescent="0.25"/>
    <row r="189" spans="1:23" ht="15.75" customHeight="1" x14ac:dyDescent="0.25"/>
    <row r="190" spans="1:23" ht="15.75" customHeight="1" x14ac:dyDescent="0.25"/>
    <row r="191" spans="1:23" ht="15.75" customHeight="1" x14ac:dyDescent="0.25"/>
    <row r="192" spans="1:23"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sheetData>
  <sortState xmlns:xlrd2="http://schemas.microsoft.com/office/spreadsheetml/2017/richdata2" ref="H13:L17">
    <sortCondition ref="H13:H17"/>
  </sortState>
  <hyperlinks>
    <hyperlink ref="C1" r:id="rId1" location="id=2533454" display="Zabraarallongex" xr:uid="{124EC796-9860-48F5-A91D-60FD826E057C}"/>
    <hyperlink ref="B1" r:id="rId2" location="id=2533415" xr:uid="{D3EF0A63-7D81-449D-88D7-2557A29A50E3}"/>
    <hyperlink ref="H1" r:id="rId3" location="id=2535463" xr:uid="{A2D492CB-C508-4776-9B83-6FED86DA63B8}"/>
    <hyperlink ref="G1" r:id="rId4" location="id=2538135" xr:uid="{4DB1C767-7505-46F1-B309-DAE2FD2B4F1D}"/>
    <hyperlink ref="F1" r:id="rId5" location="id=2534175" xr:uid="{7C6CF365-6C81-4A09-B81B-714A2939F790}"/>
    <hyperlink ref="E1" r:id="rId6" location="id=2027709" xr:uid="{6B14BF82-9DC2-4203-A369-596F542F5709}"/>
    <hyperlink ref="J1" r:id="rId7" display="https://2e.aonprd.com/Monsters.aspx?ID=118" xr:uid="{32FA989F-18D4-4093-8885-AA259CB11300}"/>
    <hyperlink ref="K1" r:id="rId8" display="https://2e.aonprd.com/Monsters.aspx?ID=118" xr:uid="{50E8BDD8-2754-4EDF-8231-4EFFC18A4625}"/>
    <hyperlink ref="D1" r:id="rId9" location="id=2544341" xr:uid="{C0326C96-B014-4C1B-9C2F-8F4D67868FC8}"/>
    <hyperlink ref="I1" r:id="rId10" location="id=2561941" xr:uid="{296D6EBD-5CA7-4155-B128-CEF7A3890D8D}"/>
    <hyperlink ref="B3" r:id="rId11" display="https://2e.aonprd.com/Ancestries.aspx?ID=4" xr:uid="{31A109A6-3E2A-4167-B033-ADC4925E0F3D}"/>
    <hyperlink ref="C3" r:id="rId12" display="https://2e.aonprd.com/Ancestries.aspx?ID=2" xr:uid="{4EF4F262-9A94-4456-A529-90DD5CFA5711}"/>
    <hyperlink ref="F3" r:id="rId13" display="https://2e.aonprd.com/Ancestries.aspx?ID=2" xr:uid="{1EFEBB8D-F897-47B3-B4C1-64FCD03A93C5}"/>
    <hyperlink ref="G3" r:id="rId14" display="https://2e.aonprd.com/Ancestries.aspx?ID=2" xr:uid="{59ADB6C2-9BF2-4495-A382-B8573BE82A16}"/>
    <hyperlink ref="H3" r:id="rId15" display="https://2e.aonprd.com/Ancestries.aspx?ID=6" xr:uid="{88D091C3-1BC0-4F44-8FF7-F80288B2AD00}"/>
    <hyperlink ref="E3" r:id="rId16" xr:uid="{945EC778-9D3A-4272-A2CC-C6CEB7A2F6A1}"/>
    <hyperlink ref="D3" r:id="rId17" display="https://2e.aonprd.com/Ancestries.aspx?ID=6" xr:uid="{CC1CAE60-6619-4979-BF73-45909A3C000D}"/>
    <hyperlink ref="I3" r:id="rId18" display="https://2e.aonprd.com/Ancestries.aspx?ID=4" xr:uid="{BD906112-6F9D-4FB5-AC0C-54784426D101}"/>
    <hyperlink ref="F5" r:id="rId19" display="https://2e.aonprd.com/Backgrounds.aspx?ID=42" xr:uid="{0F53D6B2-830A-455D-BA61-F33C5156C1FA}"/>
    <hyperlink ref="C5" r:id="rId20" display="https://2e.aonprd.com/Backgrounds.aspx?ID=50" xr:uid="{11BD666F-B983-46EE-A8F5-FB269B113741}"/>
    <hyperlink ref="B5" r:id="rId21" display="https://2e.aonprd.com/Backgrounds.aspx?ID=44" xr:uid="{F242D6AF-0146-4684-A05F-3B663CE0F487}"/>
    <hyperlink ref="G5" r:id="rId22" display="https://2e.aonprd.com/Backgrounds.aspx?ID=49" xr:uid="{CA16C637-C1D3-44BE-9954-B4ED8104120D}"/>
    <hyperlink ref="G4" r:id="rId23" xr:uid="{85476FEB-D642-47A1-B5F5-55A76F2DEBFD}"/>
    <hyperlink ref="H5" r:id="rId24" display="?" xr:uid="{1CCE4D9E-0660-4A9A-938D-C3884D83FB49}"/>
    <hyperlink ref="B4" r:id="rId25" xr:uid="{6AA4238E-AE32-4CC6-99DA-0C5523E5A158}"/>
    <hyperlink ref="F4" r:id="rId26" xr:uid="{465D1E64-0146-45BD-99EA-2E7B1852ACFA}"/>
    <hyperlink ref="E5" r:id="rId27" xr:uid="{B351FFD4-A2C0-4100-B9AA-68C2BE0445EB}"/>
    <hyperlink ref="E4" r:id="rId28" xr:uid="{A77B529A-A873-4794-AC3C-16F1556C7D72}"/>
    <hyperlink ref="C4" r:id="rId29" xr:uid="{2A226FF6-E91A-41B4-8E6A-64D2EF6AC60B}"/>
    <hyperlink ref="H4" r:id="rId30" display="Versatile" xr:uid="{79AF73B5-11E2-4811-97EA-5A5138C57501}"/>
    <hyperlink ref="D4" r:id="rId31" xr:uid="{7B230FC1-9312-493F-98DE-1A5BDE305F40}"/>
    <hyperlink ref="D5" r:id="rId32" xr:uid="{ADFF0715-AA25-488D-A509-405399056041}"/>
    <hyperlink ref="I5" r:id="rId33" xr:uid="{CC171434-5F05-47CE-8679-2E4776423382}"/>
    <hyperlink ref="I4" r:id="rId34" xr:uid="{E43F7712-D880-496C-BAC1-95F19FC22381}"/>
    <hyperlink ref="C6" r:id="rId35" xr:uid="{C173E8A6-11CB-4703-A2DB-0CCEBF464F07}"/>
    <hyperlink ref="G6" r:id="rId36" xr:uid="{17D55650-A0AA-4A8B-9E12-C4DE37FB30A0}"/>
    <hyperlink ref="B6" r:id="rId37" xr:uid="{F9D7CCED-AC8B-4E71-8E98-769D8BA871AB}"/>
    <hyperlink ref="F6" r:id="rId38" display="?" xr:uid="{40CE690E-0CBE-454C-89C8-C2FD91745B0A}"/>
    <hyperlink ref="E6" r:id="rId39" xr:uid="{FB7FB486-8B74-47DB-8F9D-FBDA11674389}"/>
    <hyperlink ref="H6" r:id="rId40" xr:uid="{F191C94E-10D4-45D3-9F2E-90D3D4571084}"/>
    <hyperlink ref="D6" r:id="rId41" xr:uid="{F5829173-4EDC-4013-89D7-1982A56C798E}"/>
    <hyperlink ref="I6" r:id="rId42" xr:uid="{CB7AB5AE-07D3-4248-80A5-E34B422DC284}"/>
    <hyperlink ref="B8" r:id="rId43" display="https://2e.aonprd.com/Classes.aspx?ID=6" xr:uid="{9288083F-A281-49BB-8BE0-5DF8807CD35C}"/>
    <hyperlink ref="E8" r:id="rId44" display="https://2e.aonprd.com/Classes.aspx?ID=2" xr:uid="{2E49BACF-B168-400F-AE86-038E5B7DD7DB}"/>
    <hyperlink ref="G8" r:id="rId45" display="https://2e.aonprd.com/Classes.aspx?ID=10" xr:uid="{0D8156CC-6DC3-41DC-BBE5-CD3F0F018E5B}"/>
    <hyperlink ref="H8" r:id="rId46" display="https://2e.aonprd.com/Classes.aspx?ID=7" xr:uid="{559A472D-838D-4AB6-B82F-25C93A82D6A2}"/>
    <hyperlink ref="F8" r:id="rId47" display="https://2e.aonprd.com/Classes.aspx?ID=5" xr:uid="{C26B0D67-1FA6-4193-BBF9-0771FB61A825}"/>
    <hyperlink ref="C8" r:id="rId48" display="https://2e.aonprd.com/Classes.aspx?ID=12" xr:uid="{9321EFEE-91B6-429C-84E8-46AD4104270F}"/>
    <hyperlink ref="D8" r:id="rId49" xr:uid="{037F3E58-7FA9-402A-A0D3-88D2170DCD47}"/>
    <hyperlink ref="I8" r:id="rId50" display="https://2e.aonprd.com/Classes.aspx?ID=10" xr:uid="{6C7E205B-6C2D-4EBE-9619-95916512BB88}"/>
    <hyperlink ref="G10" r:id="rId51" xr:uid="{0399DF3F-F153-48B5-8563-80A48940B7E2}"/>
    <hyperlink ref="B10" r:id="rId52" display="Order = ?" xr:uid="{42FAE92A-6C64-444F-A90E-4D74B3420790}"/>
    <hyperlink ref="C10" r:id="rId53" display="https://2e.aonprd.com/ArcaneSchools.aspx?ID=4" xr:uid="{04C257F1-DB79-4777-AB48-8EA1BF9F06FA}"/>
    <hyperlink ref="E10" r:id="rId54" xr:uid="{F52E4B79-DA34-439A-9C45-193611E7D58D}"/>
    <hyperlink ref="D10" r:id="rId55" display="Muse =" xr:uid="{B88CC12C-025B-4E55-B8D2-6497C6BA74C1}"/>
    <hyperlink ref="I10" r:id="rId56" xr:uid="{E2D7D6A9-9123-4935-B962-1526A14BE2C9}"/>
    <hyperlink ref="J3" r:id="rId57" display="https://2e.aonprd.com/AnimalCompanions.aspx?ID=5" xr:uid="{813E86EB-A17F-4708-8231-E145AF1C5832}"/>
    <hyperlink ref="K3" r:id="rId58" display="https://2e.aonprd.com/Familiars.aspx" xr:uid="{79A5B4E0-E993-439F-8F47-74C2D461437F}"/>
    <hyperlink ref="K8" r:id="rId59" display="https://2e.aonprd.com/Rules.aspx?ID=160" xr:uid="{DF79939D-DBD0-4671-AC93-D0128F034F15}"/>
    <hyperlink ref="J8" r:id="rId60" display="https://2e.aonprd.com/Rules.aspx?ID=149" xr:uid="{60414532-03DC-481B-8E0D-DB335F375D41}"/>
  </hyperlinks>
  <pageMargins left="0.7" right="0.7" top="0.75" bottom="0.75" header="0" footer="0"/>
  <pageSetup paperSize="9" orientation="portrait" r:id="rId6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16"/>
  <sheetViews>
    <sheetView showGridLines="0" workbookViewId="0">
      <pane xSplit="1" ySplit="1" topLeftCell="B2" activePane="bottomRight" state="frozen"/>
      <selection activeCell="H114" sqref="H114"/>
      <selection pane="topRight" activeCell="H114" sqref="H114"/>
      <selection pane="bottomLeft" activeCell="H114" sqref="H114"/>
      <selection pane="bottomRight" activeCell="I83" sqref="I83:I88"/>
    </sheetView>
  </sheetViews>
  <sheetFormatPr baseColWidth="10" defaultColWidth="14.42578125" defaultRowHeight="15" customHeight="1" outlineLevelRow="1" x14ac:dyDescent="0.25"/>
  <cols>
    <col min="1" max="1" width="6.5703125" style="31" customWidth="1"/>
    <col min="2" max="11" width="18.7109375" style="31" customWidth="1"/>
    <col min="12" max="16384" width="14.42578125" style="31"/>
  </cols>
  <sheetData>
    <row r="1" spans="1:13" ht="15.75" thickBot="1" x14ac:dyDescent="0.3">
      <c r="A1" s="154" t="s">
        <v>9</v>
      </c>
      <c r="B1" s="257" t="s">
        <v>154</v>
      </c>
      <c r="C1" s="257" t="s">
        <v>1025</v>
      </c>
      <c r="D1" s="258" t="s">
        <v>659</v>
      </c>
      <c r="E1" s="258" t="s">
        <v>266</v>
      </c>
      <c r="F1" s="258" t="s">
        <v>155</v>
      </c>
      <c r="G1" s="258" t="s">
        <v>204</v>
      </c>
      <c r="H1" s="257" t="s">
        <v>156</v>
      </c>
      <c r="I1" s="258" t="s">
        <v>840</v>
      </c>
      <c r="J1" s="543" t="str">
        <f>'Status courant'!J1</f>
        <v>Top</v>
      </c>
      <c r="K1" s="267" t="str">
        <f>'Status courant'!K1</f>
        <v>Gravlax</v>
      </c>
      <c r="M1" s="96"/>
    </row>
    <row r="2" spans="1:13" x14ac:dyDescent="0.25">
      <c r="A2" s="160" t="s">
        <v>10</v>
      </c>
      <c r="B2" s="36">
        <f>B20-IF(B20&gt;18,(B20-18)/2,0)</f>
        <v>10</v>
      </c>
      <c r="C2" s="37">
        <f t="shared" ref="C2:H2" si="0">C20-IF(C20&gt;18,(C20-18)/2,0)</f>
        <v>10</v>
      </c>
      <c r="D2" s="37">
        <f t="shared" ref="D2" si="1">D20-IF(D20&gt;18,(D20-18)/2,0)</f>
        <v>14</v>
      </c>
      <c r="E2" s="37">
        <f t="shared" si="0"/>
        <v>19</v>
      </c>
      <c r="F2" s="37">
        <f t="shared" ref="F2:F7" si="2">F20-IF(F20&gt;18,(F20-18)/2,0)</f>
        <v>10</v>
      </c>
      <c r="G2" s="37">
        <f t="shared" si="0"/>
        <v>14</v>
      </c>
      <c r="H2" s="37">
        <f t="shared" si="0"/>
        <v>19</v>
      </c>
      <c r="I2" s="37">
        <f t="shared" ref="I2" si="3">I20-IF(I20&gt;18,(I20-18)/2,0)</f>
        <v>10</v>
      </c>
      <c r="J2" s="550">
        <f>J20</f>
        <v>16</v>
      </c>
      <c r="K2" s="551">
        <f>K20</f>
        <v>10</v>
      </c>
      <c r="L2" s="136">
        <f>SUM(B2:I2)/6</f>
        <v>17.666666666666668</v>
      </c>
    </row>
    <row r="3" spans="1:13" x14ac:dyDescent="0.25">
      <c r="A3" s="160" t="s">
        <v>11</v>
      </c>
      <c r="B3" s="9">
        <f t="shared" ref="B3:H3" si="4">B21-IF(B21&gt;18,(B21-18)/2,0)</f>
        <v>16</v>
      </c>
      <c r="C3" s="10">
        <f t="shared" si="4"/>
        <v>14</v>
      </c>
      <c r="D3" s="10">
        <f t="shared" ref="D3" si="5">D21-IF(D21&gt;18,(D21-18)/2,0)</f>
        <v>14</v>
      </c>
      <c r="E3" s="10">
        <f t="shared" si="4"/>
        <v>16</v>
      </c>
      <c r="F3" s="10">
        <f t="shared" si="2"/>
        <v>16</v>
      </c>
      <c r="G3" s="10">
        <f t="shared" si="4"/>
        <v>18</v>
      </c>
      <c r="H3" s="10">
        <f t="shared" si="4"/>
        <v>14</v>
      </c>
      <c r="I3" s="10">
        <f t="shared" ref="I3" si="6">I21-IF(I21&gt;18,(I21-18)/2,0)</f>
        <v>19</v>
      </c>
      <c r="J3" s="548">
        <f>J21</f>
        <v>18</v>
      </c>
      <c r="K3" s="549">
        <f>K21</f>
        <v>10</v>
      </c>
      <c r="L3" s="136">
        <f t="shared" ref="L3:L7" si="7">SUM(B3:I3)/6</f>
        <v>21.166666666666668</v>
      </c>
    </row>
    <row r="4" spans="1:13" x14ac:dyDescent="0.25">
      <c r="A4" s="160" t="s">
        <v>8</v>
      </c>
      <c r="B4" s="9">
        <f t="shared" ref="B4:H4" si="8">B22-IF(B22&gt;18,(B22-18)/2,0)</f>
        <v>10</v>
      </c>
      <c r="C4" s="10">
        <f t="shared" si="8"/>
        <v>12</v>
      </c>
      <c r="D4" s="10">
        <f t="shared" ref="D4" si="9">D22-IF(D22&gt;18,(D22-18)/2,0)</f>
        <v>14</v>
      </c>
      <c r="E4" s="10">
        <f t="shared" si="8"/>
        <v>16</v>
      </c>
      <c r="F4" s="10">
        <f t="shared" si="2"/>
        <v>10</v>
      </c>
      <c r="G4" s="10">
        <f t="shared" si="8"/>
        <v>12</v>
      </c>
      <c r="H4" s="10">
        <f t="shared" si="8"/>
        <v>18</v>
      </c>
      <c r="I4" s="10">
        <f t="shared" ref="I4" si="10">I22-IF(I22&gt;18,(I22-18)/2,0)</f>
        <v>16</v>
      </c>
      <c r="J4" s="548">
        <f t="shared" ref="J4:K7" si="11">J22</f>
        <v>16</v>
      </c>
      <c r="K4" s="549">
        <f t="shared" si="11"/>
        <v>10</v>
      </c>
      <c r="L4" s="136">
        <f t="shared" si="7"/>
        <v>18</v>
      </c>
    </row>
    <row r="5" spans="1:13" x14ac:dyDescent="0.25">
      <c r="A5" s="160" t="s">
        <v>12</v>
      </c>
      <c r="B5" s="9">
        <f t="shared" ref="B5:H5" si="12">B23-IF(B23&gt;18,(B23-18)/2,0)</f>
        <v>14</v>
      </c>
      <c r="C5" s="10">
        <f t="shared" si="12"/>
        <v>19</v>
      </c>
      <c r="D5" s="10">
        <f t="shared" ref="D5" si="13">D23-IF(D23&gt;18,(D23-18)/2,0)</f>
        <v>12</v>
      </c>
      <c r="E5" s="10">
        <f t="shared" si="12"/>
        <v>12</v>
      </c>
      <c r="F5" s="10">
        <f t="shared" si="2"/>
        <v>14</v>
      </c>
      <c r="G5" s="10">
        <f t="shared" si="12"/>
        <v>12</v>
      </c>
      <c r="H5" s="10">
        <f t="shared" si="12"/>
        <v>10</v>
      </c>
      <c r="I5" s="10">
        <f t="shared" ref="I5" si="14">I23-IF(I23&gt;18,(I23-18)/2,0)</f>
        <v>16</v>
      </c>
      <c r="J5" s="548">
        <f t="shared" si="11"/>
        <v>3</v>
      </c>
      <c r="K5" s="549">
        <f t="shared" si="11"/>
        <v>10</v>
      </c>
      <c r="L5" s="136">
        <f t="shared" si="7"/>
        <v>18.166666666666668</v>
      </c>
    </row>
    <row r="6" spans="1:13" x14ac:dyDescent="0.25">
      <c r="A6" s="160" t="s">
        <v>13</v>
      </c>
      <c r="B6" s="9">
        <f t="shared" ref="B6:H6" si="15">B24-IF(B24&gt;18,(B24-18)/2,0)</f>
        <v>18</v>
      </c>
      <c r="C6" s="10">
        <f t="shared" si="15"/>
        <v>16</v>
      </c>
      <c r="D6" s="10">
        <f t="shared" ref="D6" si="16">D24-IF(D24&gt;18,(D24-18)/2,0)</f>
        <v>14</v>
      </c>
      <c r="E6" s="10">
        <f t="shared" si="15"/>
        <v>14</v>
      </c>
      <c r="F6" s="10">
        <f t="shared" si="2"/>
        <v>19</v>
      </c>
      <c r="G6" s="10">
        <f t="shared" si="15"/>
        <v>10</v>
      </c>
      <c r="H6" s="10">
        <f t="shared" si="15"/>
        <v>14</v>
      </c>
      <c r="I6" s="10">
        <f t="shared" ref="I6" si="17">I24-IF(I24&gt;18,(I24-18)/2,0)</f>
        <v>8</v>
      </c>
      <c r="J6" s="548">
        <f t="shared" si="11"/>
        <v>14</v>
      </c>
      <c r="K6" s="549">
        <f t="shared" si="11"/>
        <v>10</v>
      </c>
      <c r="L6" s="136">
        <f t="shared" si="7"/>
        <v>18.833333333333332</v>
      </c>
    </row>
    <row r="7" spans="1:13" ht="15.75" thickBot="1" x14ac:dyDescent="0.3">
      <c r="A7" s="161" t="s">
        <v>14</v>
      </c>
      <c r="B7" s="20">
        <f t="shared" ref="B7:H7" si="18">B25-IF(B25&gt;18,(B25-18)/2,0)</f>
        <v>18</v>
      </c>
      <c r="C7" s="18">
        <f t="shared" si="18"/>
        <v>14</v>
      </c>
      <c r="D7" s="18">
        <f t="shared" ref="D7" si="19">D25-IF(D25&gt;18,(D25-18)/2,0)</f>
        <v>18</v>
      </c>
      <c r="E7" s="18">
        <f t="shared" si="18"/>
        <v>8</v>
      </c>
      <c r="F7" s="18">
        <f t="shared" si="2"/>
        <v>16</v>
      </c>
      <c r="G7" s="18">
        <f t="shared" si="18"/>
        <v>19</v>
      </c>
      <c r="H7" s="18">
        <f t="shared" si="18"/>
        <v>10</v>
      </c>
      <c r="I7" s="18">
        <f t="shared" ref="I7" si="20">I25-IF(I25&gt;18,(I25-18)/2,0)</f>
        <v>16</v>
      </c>
      <c r="J7" s="552">
        <f t="shared" si="11"/>
        <v>10</v>
      </c>
      <c r="K7" s="553">
        <f t="shared" si="11"/>
        <v>10</v>
      </c>
      <c r="L7" s="136">
        <f t="shared" si="7"/>
        <v>19.833333333333332</v>
      </c>
    </row>
    <row r="8" spans="1:13" ht="15.75" thickBot="1" x14ac:dyDescent="0.3">
      <c r="A8" s="154" t="s">
        <v>7</v>
      </c>
      <c r="B8" s="155">
        <f t="shared" ref="B8:J8" si="21">SUM(B2:B7)</f>
        <v>86</v>
      </c>
      <c r="C8" s="156">
        <f t="shared" si="21"/>
        <v>85</v>
      </c>
      <c r="D8" s="156">
        <f t="shared" ref="D8" si="22">SUM(D2:D7)</f>
        <v>86</v>
      </c>
      <c r="E8" s="156">
        <f t="shared" si="21"/>
        <v>85</v>
      </c>
      <c r="F8" s="156">
        <f>SUM(F2:F7)</f>
        <v>85</v>
      </c>
      <c r="G8" s="156">
        <f t="shared" si="21"/>
        <v>85</v>
      </c>
      <c r="H8" s="156">
        <f t="shared" si="21"/>
        <v>85</v>
      </c>
      <c r="I8" s="156">
        <f t="shared" ref="I8" si="23">SUM(I2:I7)</f>
        <v>85</v>
      </c>
      <c r="J8" s="544">
        <f t="shared" si="21"/>
        <v>77</v>
      </c>
      <c r="K8" s="545">
        <f t="shared" ref="K8" si="24">SUM(K2:K7)</f>
        <v>60</v>
      </c>
    </row>
    <row r="9" spans="1:13" ht="15.75" thickBot="1" x14ac:dyDescent="0.3">
      <c r="A9" s="34"/>
      <c r="B9" s="34"/>
      <c r="C9" s="34"/>
      <c r="D9" s="34"/>
      <c r="E9" s="34"/>
      <c r="F9" s="34"/>
      <c r="G9" s="34"/>
      <c r="H9" s="34"/>
      <c r="I9" s="34"/>
      <c r="J9" s="34"/>
      <c r="K9" s="34"/>
    </row>
    <row r="10" spans="1:13" ht="15.75" thickBot="1" x14ac:dyDescent="0.3">
      <c r="A10" s="154" t="s">
        <v>16</v>
      </c>
      <c r="B10" s="157" t="str">
        <f>B$1</f>
        <v>Tip</v>
      </c>
      <c r="C10" s="158" t="str">
        <f t="shared" ref="C10:K10" si="25">C$1</f>
        <v>Zabrarallongex</v>
      </c>
      <c r="D10" s="158" t="str">
        <f t="shared" si="25"/>
        <v>Belica</v>
      </c>
      <c r="E10" s="158" t="str">
        <f t="shared" si="25"/>
        <v>Eddruk</v>
      </c>
      <c r="F10" s="158" t="str">
        <f t="shared" si="25"/>
        <v>Thalion</v>
      </c>
      <c r="G10" s="158" t="str">
        <f t="shared" si="25"/>
        <v>Osharys</v>
      </c>
      <c r="H10" s="158" t="str">
        <f t="shared" si="25"/>
        <v>Ithiel Theodrek</v>
      </c>
      <c r="I10" s="158" t="str">
        <f t="shared" si="25"/>
        <v>Gartuk</v>
      </c>
      <c r="J10" s="158" t="str">
        <f t="shared" si="25"/>
        <v>Top</v>
      </c>
      <c r="K10" s="159" t="str">
        <f t="shared" si="25"/>
        <v>Gravlax</v>
      </c>
    </row>
    <row r="11" spans="1:13" x14ac:dyDescent="0.25">
      <c r="A11" s="160" t="s">
        <v>10</v>
      </c>
      <c r="B11" s="145">
        <f t="shared" ref="B11:J11" si="26">INT(B2/2-5)</f>
        <v>0</v>
      </c>
      <c r="C11" s="55">
        <f t="shared" si="26"/>
        <v>0</v>
      </c>
      <c r="D11" s="55">
        <f t="shared" ref="D11" si="27">INT(D2/2-5)</f>
        <v>2</v>
      </c>
      <c r="E11" s="55">
        <f t="shared" si="26"/>
        <v>4</v>
      </c>
      <c r="F11" s="55">
        <f t="shared" ref="F11:F16" si="28">INT(F2/2-5)</f>
        <v>0</v>
      </c>
      <c r="G11" s="55">
        <f t="shared" si="26"/>
        <v>2</v>
      </c>
      <c r="H11" s="55">
        <f t="shared" si="26"/>
        <v>4</v>
      </c>
      <c r="I11" s="55">
        <f t="shared" ref="I11" si="29">INT(I2/2-5)</f>
        <v>0</v>
      </c>
      <c r="J11" s="55">
        <f t="shared" si="26"/>
        <v>3</v>
      </c>
      <c r="K11" s="56">
        <f t="shared" ref="K11" si="30">INT(K2/2-5)</f>
        <v>0</v>
      </c>
    </row>
    <row r="12" spans="1:13" x14ac:dyDescent="0.25">
      <c r="A12" s="160" t="s">
        <v>11</v>
      </c>
      <c r="B12" s="12">
        <f t="shared" ref="B12:J12" si="31">INT(B3/2-5)</f>
        <v>3</v>
      </c>
      <c r="C12" s="10">
        <f t="shared" si="31"/>
        <v>2</v>
      </c>
      <c r="D12" s="10">
        <f t="shared" ref="D12" si="32">INT(D3/2-5)</f>
        <v>2</v>
      </c>
      <c r="E12" s="10">
        <f t="shared" si="31"/>
        <v>3</v>
      </c>
      <c r="F12" s="10">
        <f t="shared" si="28"/>
        <v>3</v>
      </c>
      <c r="G12" s="10">
        <f t="shared" si="31"/>
        <v>4</v>
      </c>
      <c r="H12" s="10">
        <f t="shared" si="31"/>
        <v>2</v>
      </c>
      <c r="I12" s="10">
        <f t="shared" ref="I12" si="33">INT(I3/2-5)</f>
        <v>4</v>
      </c>
      <c r="J12" s="10">
        <f t="shared" si="31"/>
        <v>4</v>
      </c>
      <c r="K12" s="11">
        <f t="shared" ref="K12" si="34">INT(K3/2-5)</f>
        <v>0</v>
      </c>
    </row>
    <row r="13" spans="1:13" x14ac:dyDescent="0.25">
      <c r="A13" s="160" t="s">
        <v>8</v>
      </c>
      <c r="B13" s="12">
        <f t="shared" ref="B13:J13" si="35">INT(B4/2-5)</f>
        <v>0</v>
      </c>
      <c r="C13" s="10">
        <f t="shared" si="35"/>
        <v>1</v>
      </c>
      <c r="D13" s="10">
        <f t="shared" ref="D13" si="36">INT(D4/2-5)</f>
        <v>2</v>
      </c>
      <c r="E13" s="10">
        <f t="shared" si="35"/>
        <v>3</v>
      </c>
      <c r="F13" s="10">
        <f t="shared" si="28"/>
        <v>0</v>
      </c>
      <c r="G13" s="10">
        <f t="shared" si="35"/>
        <v>1</v>
      </c>
      <c r="H13" s="10">
        <f t="shared" si="35"/>
        <v>4</v>
      </c>
      <c r="I13" s="10">
        <f t="shared" ref="I13" si="37">INT(I4/2-5)</f>
        <v>3</v>
      </c>
      <c r="J13" s="10">
        <f t="shared" si="35"/>
        <v>3</v>
      </c>
      <c r="K13" s="11">
        <f t="shared" ref="K13" si="38">INT(K4/2-5)</f>
        <v>0</v>
      </c>
    </row>
    <row r="14" spans="1:13" x14ac:dyDescent="0.25">
      <c r="A14" s="160" t="s">
        <v>12</v>
      </c>
      <c r="B14" s="12">
        <f t="shared" ref="B14:J14" si="39">INT(B5/2-5)</f>
        <v>2</v>
      </c>
      <c r="C14" s="10">
        <f t="shared" si="39"/>
        <v>4</v>
      </c>
      <c r="D14" s="10">
        <f t="shared" ref="D14" si="40">INT(D5/2-5)</f>
        <v>1</v>
      </c>
      <c r="E14" s="10">
        <f t="shared" si="39"/>
        <v>1</v>
      </c>
      <c r="F14" s="10">
        <f t="shared" si="28"/>
        <v>2</v>
      </c>
      <c r="G14" s="10">
        <f t="shared" si="39"/>
        <v>1</v>
      </c>
      <c r="H14" s="10">
        <f t="shared" si="39"/>
        <v>0</v>
      </c>
      <c r="I14" s="10">
        <f t="shared" ref="I14" si="41">INT(I5/2-5)</f>
        <v>3</v>
      </c>
      <c r="J14" s="10">
        <f t="shared" si="39"/>
        <v>-4</v>
      </c>
      <c r="K14" s="11">
        <f t="shared" ref="K14" si="42">INT(K5/2-5)</f>
        <v>0</v>
      </c>
    </row>
    <row r="15" spans="1:13" x14ac:dyDescent="0.25">
      <c r="A15" s="160" t="s">
        <v>13</v>
      </c>
      <c r="B15" s="12">
        <f t="shared" ref="B15:J15" si="43">INT(B6/2-5)</f>
        <v>4</v>
      </c>
      <c r="C15" s="10">
        <f t="shared" si="43"/>
        <v>3</v>
      </c>
      <c r="D15" s="10">
        <f t="shared" ref="D15" si="44">INT(D6/2-5)</f>
        <v>2</v>
      </c>
      <c r="E15" s="10">
        <f t="shared" si="43"/>
        <v>2</v>
      </c>
      <c r="F15" s="10">
        <f t="shared" si="28"/>
        <v>4</v>
      </c>
      <c r="G15" s="10">
        <f t="shared" si="43"/>
        <v>0</v>
      </c>
      <c r="H15" s="10">
        <f t="shared" si="43"/>
        <v>2</v>
      </c>
      <c r="I15" s="10">
        <f t="shared" ref="I15" si="45">INT(I6/2-5)</f>
        <v>-1</v>
      </c>
      <c r="J15" s="10">
        <f t="shared" si="43"/>
        <v>2</v>
      </c>
      <c r="K15" s="11">
        <f t="shared" ref="K15" si="46">INT(K6/2-5)</f>
        <v>0</v>
      </c>
    </row>
    <row r="16" spans="1:13" ht="15.75" thickBot="1" x14ac:dyDescent="0.3">
      <c r="A16" s="161" t="s">
        <v>14</v>
      </c>
      <c r="B16" s="148">
        <f t="shared" ref="B16:J16" si="47">INT(B7/2-5)</f>
        <v>4</v>
      </c>
      <c r="C16" s="25">
        <f t="shared" si="47"/>
        <v>2</v>
      </c>
      <c r="D16" s="25">
        <f t="shared" ref="D16" si="48">INT(D7/2-5)</f>
        <v>4</v>
      </c>
      <c r="E16" s="25">
        <f t="shared" si="47"/>
        <v>-1</v>
      </c>
      <c r="F16" s="25">
        <f t="shared" si="28"/>
        <v>3</v>
      </c>
      <c r="G16" s="25">
        <f t="shared" si="47"/>
        <v>4</v>
      </c>
      <c r="H16" s="25">
        <f t="shared" si="47"/>
        <v>0</v>
      </c>
      <c r="I16" s="25">
        <f t="shared" ref="I16" si="49">INT(I7/2-5)</f>
        <v>3</v>
      </c>
      <c r="J16" s="25">
        <f t="shared" si="47"/>
        <v>0</v>
      </c>
      <c r="K16" s="50">
        <f t="shared" ref="K16" si="50">INT(K7/2-5)</f>
        <v>0</v>
      </c>
    </row>
    <row r="17" spans="1:11" ht="15.75" thickBot="1" x14ac:dyDescent="0.3">
      <c r="A17" s="154" t="s">
        <v>7</v>
      </c>
      <c r="B17" s="155">
        <f t="shared" ref="B17:J17" si="51">SUM(B11:B16)</f>
        <v>13</v>
      </c>
      <c r="C17" s="156">
        <f t="shared" si="51"/>
        <v>12</v>
      </c>
      <c r="D17" s="156">
        <f t="shared" ref="D17" si="52">SUM(D11:D16)</f>
        <v>13</v>
      </c>
      <c r="E17" s="156">
        <f t="shared" si="51"/>
        <v>12</v>
      </c>
      <c r="F17" s="156">
        <f>SUM(F11:F16)</f>
        <v>12</v>
      </c>
      <c r="G17" s="156">
        <f t="shared" si="51"/>
        <v>12</v>
      </c>
      <c r="H17" s="156">
        <f t="shared" si="51"/>
        <v>12</v>
      </c>
      <c r="I17" s="156">
        <f t="shared" ref="I17" si="53">SUM(I11:I16)</f>
        <v>12</v>
      </c>
      <c r="J17" s="544">
        <f t="shared" si="51"/>
        <v>8</v>
      </c>
      <c r="K17" s="545">
        <f t="shared" ref="K17" si="54">SUM(K11:K16)</f>
        <v>0</v>
      </c>
    </row>
    <row r="18" spans="1:11" x14ac:dyDescent="0.25">
      <c r="A18" s="34"/>
      <c r="B18" s="34"/>
      <c r="C18" s="34"/>
      <c r="D18" s="34"/>
      <c r="E18" s="34"/>
      <c r="F18" s="34"/>
      <c r="G18" s="34"/>
      <c r="H18" s="34"/>
      <c r="I18" s="34"/>
      <c r="J18" s="34"/>
      <c r="K18" s="34"/>
    </row>
    <row r="19" spans="1:11" ht="15.75" hidden="1" outlineLevel="1" thickBot="1" x14ac:dyDescent="0.3">
      <c r="A19" s="154" t="s">
        <v>47</v>
      </c>
      <c r="B19" s="157" t="str">
        <f>B$1</f>
        <v>Tip</v>
      </c>
      <c r="C19" s="158" t="str">
        <f t="shared" ref="C19:K19" si="55">C$1</f>
        <v>Zabrarallongex</v>
      </c>
      <c r="D19" s="158" t="str">
        <f t="shared" si="55"/>
        <v>Belica</v>
      </c>
      <c r="E19" s="158" t="str">
        <f t="shared" si="55"/>
        <v>Eddruk</v>
      </c>
      <c r="F19" s="158" t="str">
        <f t="shared" si="55"/>
        <v>Thalion</v>
      </c>
      <c r="G19" s="158" t="str">
        <f t="shared" si="55"/>
        <v>Osharys</v>
      </c>
      <c r="H19" s="158" t="str">
        <f t="shared" si="55"/>
        <v>Ithiel Theodrek</v>
      </c>
      <c r="I19" s="158" t="str">
        <f t="shared" si="55"/>
        <v>Gartuk</v>
      </c>
      <c r="J19" s="158" t="str">
        <f t="shared" si="55"/>
        <v>Top</v>
      </c>
      <c r="K19" s="159" t="str">
        <f t="shared" si="55"/>
        <v>Gravlax</v>
      </c>
    </row>
    <row r="20" spans="1:11" hidden="1" outlineLevel="1" x14ac:dyDescent="0.25">
      <c r="A20" s="160" t="s">
        <v>10</v>
      </c>
      <c r="B20" s="145">
        <f>10+B30+B37+B46+B55+B65+B74+B83</f>
        <v>10</v>
      </c>
      <c r="C20" s="55">
        <f t="shared" ref="C20:H20" si="56">10+C30+C37+C46+C55+C65+C74+C83</f>
        <v>10</v>
      </c>
      <c r="D20" s="55">
        <f t="shared" ref="D20" si="57">10+D30+D37+D46+D55+D65+D74+D83</f>
        <v>14</v>
      </c>
      <c r="E20" s="55">
        <f t="shared" si="56"/>
        <v>20</v>
      </c>
      <c r="F20" s="55">
        <f t="shared" si="56"/>
        <v>10</v>
      </c>
      <c r="G20" s="55">
        <f t="shared" si="56"/>
        <v>14</v>
      </c>
      <c r="H20" s="55">
        <f t="shared" si="56"/>
        <v>20</v>
      </c>
      <c r="I20" s="55">
        <f t="shared" ref="I20" si="58">10+I30+I37+I46+I55+I65+I74+I83</f>
        <v>10</v>
      </c>
      <c r="J20" s="55">
        <f>10+J30+J37+J46+J83</f>
        <v>16</v>
      </c>
      <c r="K20" s="56">
        <f t="shared" ref="K20:K25" si="59">10+K30+K37+K46+K55+K65+K74+K83</f>
        <v>10</v>
      </c>
    </row>
    <row r="21" spans="1:11" hidden="1" outlineLevel="1" x14ac:dyDescent="0.25">
      <c r="A21" s="160" t="s">
        <v>11</v>
      </c>
      <c r="B21" s="12">
        <f t="shared" ref="B21:H21" si="60">10+B31+B38+B47+B56+B66+B75+B84</f>
        <v>16</v>
      </c>
      <c r="C21" s="10">
        <f t="shared" si="60"/>
        <v>14</v>
      </c>
      <c r="D21" s="10">
        <f t="shared" ref="D21" si="61">10+D31+D38+D47+D56+D66+D75+D84</f>
        <v>14</v>
      </c>
      <c r="E21" s="10">
        <f t="shared" si="60"/>
        <v>16</v>
      </c>
      <c r="F21" s="10">
        <f t="shared" si="60"/>
        <v>16</v>
      </c>
      <c r="G21" s="10">
        <f t="shared" si="60"/>
        <v>18</v>
      </c>
      <c r="H21" s="10">
        <f t="shared" si="60"/>
        <v>14</v>
      </c>
      <c r="I21" s="10">
        <f t="shared" ref="I21" si="62">10+I31+I38+I47+I56+I66+I75+I84</f>
        <v>20</v>
      </c>
      <c r="J21" s="55">
        <f t="shared" ref="J21:J25" si="63">10+J31+J38+J47+J84</f>
        <v>18</v>
      </c>
      <c r="K21" s="11">
        <f t="shared" si="59"/>
        <v>10</v>
      </c>
    </row>
    <row r="22" spans="1:11" hidden="1" outlineLevel="1" x14ac:dyDescent="0.25">
      <c r="A22" s="160" t="s">
        <v>8</v>
      </c>
      <c r="B22" s="12">
        <f t="shared" ref="B22:H22" si="64">10+B32+B39+B48+B57+B67+B76+B85</f>
        <v>10</v>
      </c>
      <c r="C22" s="10">
        <f t="shared" si="64"/>
        <v>12</v>
      </c>
      <c r="D22" s="10">
        <f t="shared" ref="D22" si="65">10+D32+D39+D48+D57+D67+D76+D85</f>
        <v>14</v>
      </c>
      <c r="E22" s="10">
        <f t="shared" si="64"/>
        <v>16</v>
      </c>
      <c r="F22" s="10">
        <f t="shared" si="64"/>
        <v>10</v>
      </c>
      <c r="G22" s="10">
        <f t="shared" si="64"/>
        <v>12</v>
      </c>
      <c r="H22" s="10">
        <f t="shared" si="64"/>
        <v>18</v>
      </c>
      <c r="I22" s="10">
        <f t="shared" ref="I22" si="66">10+I32+I39+I48+I57+I67+I76+I85</f>
        <v>16</v>
      </c>
      <c r="J22" s="55">
        <f t="shared" si="63"/>
        <v>16</v>
      </c>
      <c r="K22" s="11">
        <f t="shared" si="59"/>
        <v>10</v>
      </c>
    </row>
    <row r="23" spans="1:11" hidden="1" outlineLevel="1" x14ac:dyDescent="0.25">
      <c r="A23" s="160" t="s">
        <v>12</v>
      </c>
      <c r="B23" s="12">
        <f t="shared" ref="B23:H23" si="67">10+B33+B40+B49+B58+B68+B77+B86</f>
        <v>14</v>
      </c>
      <c r="C23" s="10">
        <f t="shared" si="67"/>
        <v>20</v>
      </c>
      <c r="D23" s="10">
        <f t="shared" ref="D23" si="68">10+D33+D40+D49+D58+D68+D77+D86</f>
        <v>12</v>
      </c>
      <c r="E23" s="10">
        <f t="shared" si="67"/>
        <v>12</v>
      </c>
      <c r="F23" s="10">
        <f t="shared" si="67"/>
        <v>14</v>
      </c>
      <c r="G23" s="10">
        <f t="shared" si="67"/>
        <v>12</v>
      </c>
      <c r="H23" s="10">
        <f t="shared" si="67"/>
        <v>10</v>
      </c>
      <c r="I23" s="10">
        <f t="shared" ref="I23" si="69">10+I33+I40+I49+I58+I68+I77+I86</f>
        <v>16</v>
      </c>
      <c r="J23" s="55">
        <f t="shared" si="63"/>
        <v>3</v>
      </c>
      <c r="K23" s="11">
        <f t="shared" si="59"/>
        <v>10</v>
      </c>
    </row>
    <row r="24" spans="1:11" hidden="1" outlineLevel="1" x14ac:dyDescent="0.25">
      <c r="A24" s="160" t="s">
        <v>13</v>
      </c>
      <c r="B24" s="12">
        <f t="shared" ref="B24:H24" si="70">10+B34+B41+B50+B59+B69+B78+B87</f>
        <v>18</v>
      </c>
      <c r="C24" s="10">
        <f t="shared" si="70"/>
        <v>16</v>
      </c>
      <c r="D24" s="10">
        <f t="shared" ref="D24" si="71">10+D34+D41+D50+D59+D69+D78+D87</f>
        <v>14</v>
      </c>
      <c r="E24" s="10">
        <f t="shared" si="70"/>
        <v>14</v>
      </c>
      <c r="F24" s="10">
        <f t="shared" si="70"/>
        <v>20</v>
      </c>
      <c r="G24" s="10">
        <f t="shared" si="70"/>
        <v>10</v>
      </c>
      <c r="H24" s="10">
        <f t="shared" si="70"/>
        <v>14</v>
      </c>
      <c r="I24" s="10">
        <f t="shared" ref="I24" si="72">10+I34+I41+I50+I59+I69+I78+I87</f>
        <v>8</v>
      </c>
      <c r="J24" s="55">
        <f t="shared" si="63"/>
        <v>14</v>
      </c>
      <c r="K24" s="11">
        <f t="shared" si="59"/>
        <v>10</v>
      </c>
    </row>
    <row r="25" spans="1:11" ht="15.75" hidden="1" outlineLevel="1" thickBot="1" x14ac:dyDescent="0.3">
      <c r="A25" s="161" t="s">
        <v>14</v>
      </c>
      <c r="B25" s="148">
        <f t="shared" ref="B25:H25" si="73">10+B35+B42+B51+B60+B70+B79+B88</f>
        <v>18</v>
      </c>
      <c r="C25" s="25">
        <f t="shared" si="73"/>
        <v>14</v>
      </c>
      <c r="D25" s="25">
        <f t="shared" ref="D25" si="74">10+D35+D42+D51+D60+D70+D79+D88</f>
        <v>18</v>
      </c>
      <c r="E25" s="25">
        <f t="shared" si="73"/>
        <v>8</v>
      </c>
      <c r="F25" s="25">
        <f t="shared" si="73"/>
        <v>16</v>
      </c>
      <c r="G25" s="25">
        <f t="shared" si="73"/>
        <v>20</v>
      </c>
      <c r="H25" s="25">
        <f t="shared" si="73"/>
        <v>10</v>
      </c>
      <c r="I25" s="25">
        <f t="shared" ref="I25" si="75">10+I35+I42+I51+I60+I70+I79+I88</f>
        <v>16</v>
      </c>
      <c r="J25" s="55">
        <f t="shared" si="63"/>
        <v>10</v>
      </c>
      <c r="K25" s="50">
        <f t="shared" si="59"/>
        <v>10</v>
      </c>
    </row>
    <row r="26" spans="1:11" ht="15.75" hidden="1" outlineLevel="1" thickBot="1" x14ac:dyDescent="0.3">
      <c r="A26" s="154" t="s">
        <v>7</v>
      </c>
      <c r="B26" s="155">
        <f t="shared" ref="B26:J26" si="76">SUM(B20:B25)</f>
        <v>86</v>
      </c>
      <c r="C26" s="156">
        <f t="shared" si="76"/>
        <v>86</v>
      </c>
      <c r="D26" s="156">
        <f t="shared" ref="D26" si="77">SUM(D20:D25)</f>
        <v>86</v>
      </c>
      <c r="E26" s="156">
        <f t="shared" si="76"/>
        <v>86</v>
      </c>
      <c r="F26" s="156">
        <f>SUM(F20:F25)</f>
        <v>86</v>
      </c>
      <c r="G26" s="156">
        <f t="shared" si="76"/>
        <v>86</v>
      </c>
      <c r="H26" s="156">
        <f t="shared" si="76"/>
        <v>86</v>
      </c>
      <c r="I26" s="156">
        <f t="shared" ref="I26" si="78">SUM(I20:I25)</f>
        <v>86</v>
      </c>
      <c r="J26" s="544">
        <f t="shared" si="76"/>
        <v>77</v>
      </c>
      <c r="K26" s="545">
        <f t="shared" ref="K26" si="79">SUM(K20:K25)</f>
        <v>60</v>
      </c>
    </row>
    <row r="27" spans="1:11" ht="15.75" hidden="1" outlineLevel="1" thickBot="1" x14ac:dyDescent="0.3">
      <c r="A27" s="34"/>
      <c r="B27" s="34"/>
      <c r="C27" s="34"/>
      <c r="D27" s="34"/>
      <c r="E27" s="34"/>
      <c r="F27" s="34"/>
      <c r="G27" s="34"/>
      <c r="H27" s="34"/>
      <c r="I27" s="34"/>
      <c r="J27" s="34"/>
      <c r="K27" s="34"/>
    </row>
    <row r="28" spans="1:11" ht="15.75" hidden="1" outlineLevel="1" collapsed="1" thickBot="1" x14ac:dyDescent="0.3">
      <c r="A28" s="171" t="s">
        <v>26</v>
      </c>
      <c r="B28" s="175" t="str">
        <f>B$1</f>
        <v>Tip</v>
      </c>
      <c r="C28" s="158" t="str">
        <f t="shared" ref="C28:K28" si="80">C$1</f>
        <v>Zabrarallongex</v>
      </c>
      <c r="D28" s="158" t="str">
        <f t="shared" si="80"/>
        <v>Belica</v>
      </c>
      <c r="E28" s="158" t="str">
        <f t="shared" si="80"/>
        <v>Eddruk</v>
      </c>
      <c r="F28" s="158" t="str">
        <f t="shared" si="80"/>
        <v>Thalion</v>
      </c>
      <c r="G28" s="516" t="str">
        <f t="shared" si="80"/>
        <v>Osharys</v>
      </c>
      <c r="H28" s="158" t="str">
        <f t="shared" si="80"/>
        <v>Ithiel Theodrek</v>
      </c>
      <c r="I28" s="158" t="str">
        <f t="shared" si="80"/>
        <v>Gartuk</v>
      </c>
      <c r="J28" s="158" t="str">
        <f t="shared" si="80"/>
        <v>Top</v>
      </c>
      <c r="K28" s="159" t="str">
        <f t="shared" si="80"/>
        <v>Gravlax</v>
      </c>
    </row>
    <row r="29" spans="1:11" ht="15.75" hidden="1" outlineLevel="1" thickBot="1" x14ac:dyDescent="0.3">
      <c r="A29" s="171" t="s">
        <v>40</v>
      </c>
      <c r="B29" s="176" t="str">
        <f>'Dés de vie'!B3</f>
        <v>Goblin</v>
      </c>
      <c r="C29" s="177" t="str">
        <f>'Dés de vie'!C3</f>
        <v>Elf</v>
      </c>
      <c r="D29" s="177" t="str">
        <f>'Dés de vie'!D3</f>
        <v>Human</v>
      </c>
      <c r="E29" s="177" t="str">
        <f>'Dés de vie'!E3</f>
        <v>Dwarf</v>
      </c>
      <c r="F29" s="177" t="str">
        <f>'Dés de vie'!F3</f>
        <v>Elf</v>
      </c>
      <c r="G29" s="517" t="str">
        <f>'Dés de vie'!G3</f>
        <v>Elf</v>
      </c>
      <c r="H29" s="158" t="str">
        <f>'Dés de vie'!H3</f>
        <v>Human</v>
      </c>
      <c r="I29" s="158" t="str">
        <f>'Dés de vie'!I3</f>
        <v>Goblin</v>
      </c>
      <c r="J29" s="158" t="str">
        <f>'Dés de vie'!J3</f>
        <v>Dromaeosaur</v>
      </c>
      <c r="K29" s="159" t="str">
        <f>'Dés de vie'!K3</f>
        <v>Cat</v>
      </c>
    </row>
    <row r="30" spans="1:11" ht="15.75" hidden="1" customHeight="1" outlineLevel="1" x14ac:dyDescent="0.25">
      <c r="A30" s="160" t="s">
        <v>10</v>
      </c>
      <c r="B30" s="151"/>
      <c r="C30" s="7"/>
      <c r="D30" s="518"/>
      <c r="E30" s="7"/>
      <c r="F30" s="7"/>
      <c r="G30" s="518"/>
      <c r="H30" s="1032"/>
      <c r="I30" s="1032"/>
      <c r="J30" s="554">
        <v>6</v>
      </c>
      <c r="K30" s="547"/>
    </row>
    <row r="31" spans="1:11" ht="15.75" hidden="1" customHeight="1" outlineLevel="1" x14ac:dyDescent="0.25">
      <c r="A31" s="160" t="s">
        <v>11</v>
      </c>
      <c r="B31" s="263">
        <v>2</v>
      </c>
      <c r="C31" s="264">
        <v>2</v>
      </c>
      <c r="D31" s="519"/>
      <c r="E31" s="97"/>
      <c r="F31" s="264">
        <v>2</v>
      </c>
      <c r="G31" s="1031">
        <v>2</v>
      </c>
      <c r="H31" s="1033"/>
      <c r="I31" s="1034">
        <v>2</v>
      </c>
      <c r="J31" s="555">
        <v>6</v>
      </c>
      <c r="K31" s="546"/>
    </row>
    <row r="32" spans="1:11" ht="15.75" hidden="1" customHeight="1" outlineLevel="1" x14ac:dyDescent="0.25">
      <c r="A32" s="160" t="s">
        <v>8</v>
      </c>
      <c r="B32" s="150"/>
      <c r="C32" s="264">
        <v>-2</v>
      </c>
      <c r="D32" s="519"/>
      <c r="E32" s="264">
        <v>2</v>
      </c>
      <c r="F32" s="264">
        <v>-2</v>
      </c>
      <c r="G32" s="1031">
        <v>-2</v>
      </c>
      <c r="H32" s="1033"/>
      <c r="I32" s="1033"/>
      <c r="J32" s="555">
        <v>8</v>
      </c>
      <c r="K32" s="546"/>
    </row>
    <row r="33" spans="1:12" ht="15.75" hidden="1" customHeight="1" outlineLevel="1" x14ac:dyDescent="0.25">
      <c r="A33" s="160" t="s">
        <v>12</v>
      </c>
      <c r="B33" s="150"/>
      <c r="C33" s="264">
        <v>2</v>
      </c>
      <c r="D33" s="519"/>
      <c r="E33" s="97"/>
      <c r="F33" s="264">
        <v>2</v>
      </c>
      <c r="G33" s="1031">
        <v>2</v>
      </c>
      <c r="H33" s="1033"/>
      <c r="I33" s="1033"/>
      <c r="J33" s="555">
        <v>-7</v>
      </c>
      <c r="K33" s="546"/>
    </row>
    <row r="34" spans="1:12" ht="15.75" hidden="1" customHeight="1" outlineLevel="1" x14ac:dyDescent="0.25">
      <c r="A34" s="160" t="s">
        <v>13</v>
      </c>
      <c r="B34" s="263">
        <v>-2</v>
      </c>
      <c r="C34" s="97"/>
      <c r="D34" s="519"/>
      <c r="E34" s="264">
        <v>2</v>
      </c>
      <c r="F34" s="97"/>
      <c r="G34" s="519"/>
      <c r="H34" s="1033"/>
      <c r="I34" s="1034">
        <v>-2</v>
      </c>
      <c r="J34" s="555">
        <v>2</v>
      </c>
      <c r="K34" s="546"/>
    </row>
    <row r="35" spans="1:12" ht="15.75" hidden="1" customHeight="1" outlineLevel="1" thickBot="1" x14ac:dyDescent="0.3">
      <c r="A35" s="172" t="s">
        <v>14</v>
      </c>
      <c r="B35" s="265">
        <v>2</v>
      </c>
      <c r="C35" s="99"/>
      <c r="D35" s="520"/>
      <c r="E35" s="266">
        <v>-2</v>
      </c>
      <c r="F35" s="99"/>
      <c r="G35" s="520"/>
      <c r="H35" s="1035"/>
      <c r="I35" s="1036">
        <v>2</v>
      </c>
      <c r="J35" s="556">
        <v>4</v>
      </c>
      <c r="K35" s="557"/>
    </row>
    <row r="36" spans="1:12" ht="15.75" hidden="1" customHeight="1" outlineLevel="1" thickBot="1" x14ac:dyDescent="0.3">
      <c r="A36" s="171" t="s">
        <v>41</v>
      </c>
      <c r="B36" s="149">
        <f t="shared" ref="B36:H36" si="81">IF(B29="Human",2,1)</f>
        <v>1</v>
      </c>
      <c r="C36" s="98">
        <f t="shared" si="81"/>
        <v>1</v>
      </c>
      <c r="D36" s="98"/>
      <c r="E36" s="98">
        <f t="shared" si="81"/>
        <v>1</v>
      </c>
      <c r="F36" s="98">
        <f>IF(F29="Human",2,1)</f>
        <v>1</v>
      </c>
      <c r="G36" s="515">
        <f t="shared" si="81"/>
        <v>1</v>
      </c>
      <c r="H36" s="33">
        <f t="shared" si="81"/>
        <v>2</v>
      </c>
      <c r="I36" s="33">
        <v>1</v>
      </c>
      <c r="J36" s="558"/>
      <c r="K36" s="559"/>
    </row>
    <row r="37" spans="1:12" ht="15.75" hidden="1" customHeight="1" outlineLevel="1" x14ac:dyDescent="0.25">
      <c r="A37" s="160" t="s">
        <v>10</v>
      </c>
      <c r="B37" s="151"/>
      <c r="C37" s="7"/>
      <c r="D37" s="7">
        <v>2</v>
      </c>
      <c r="E37" s="7">
        <v>2</v>
      </c>
      <c r="F37" s="7"/>
      <c r="G37" s="518"/>
      <c r="H37" s="1032">
        <v>2</v>
      </c>
      <c r="I37" s="1032"/>
      <c r="J37" s="554"/>
      <c r="K37" s="547"/>
      <c r="L37" s="64" t="s">
        <v>44</v>
      </c>
    </row>
    <row r="38" spans="1:12" ht="15.75" hidden="1" customHeight="1" outlineLevel="1" x14ac:dyDescent="0.25">
      <c r="A38" s="160" t="s">
        <v>11</v>
      </c>
      <c r="B38" s="151"/>
      <c r="C38" s="7"/>
      <c r="D38" s="7"/>
      <c r="E38" s="7"/>
      <c r="F38" s="7"/>
      <c r="G38" s="518"/>
      <c r="H38" s="1032"/>
      <c r="I38" s="1032"/>
      <c r="J38" s="554">
        <v>2</v>
      </c>
      <c r="K38" s="547"/>
      <c r="L38" s="64" t="s">
        <v>95</v>
      </c>
    </row>
    <row r="39" spans="1:12" ht="15.75" hidden="1" customHeight="1" outlineLevel="1" x14ac:dyDescent="0.25">
      <c r="A39" s="160" t="s">
        <v>8</v>
      </c>
      <c r="B39" s="151"/>
      <c r="C39" s="7"/>
      <c r="D39" s="7"/>
      <c r="E39" s="7"/>
      <c r="F39" s="7"/>
      <c r="G39" s="518"/>
      <c r="H39" s="1032">
        <v>2</v>
      </c>
      <c r="I39" s="1032"/>
      <c r="J39" s="554">
        <v>2</v>
      </c>
      <c r="K39" s="547"/>
    </row>
    <row r="40" spans="1:12" ht="15.75" hidden="1" customHeight="1" outlineLevel="1" x14ac:dyDescent="0.25">
      <c r="A40" s="160" t="s">
        <v>12</v>
      </c>
      <c r="B40" s="151"/>
      <c r="C40" s="7"/>
      <c r="D40" s="7"/>
      <c r="E40" s="7"/>
      <c r="F40" s="7"/>
      <c r="G40" s="518"/>
      <c r="H40" s="1032"/>
      <c r="I40" s="1032">
        <v>2</v>
      </c>
      <c r="J40" s="554"/>
      <c r="K40" s="547"/>
    </row>
    <row r="41" spans="1:12" ht="15.75" hidden="1" customHeight="1" outlineLevel="1" x14ac:dyDescent="0.25">
      <c r="A41" s="160" t="s">
        <v>13</v>
      </c>
      <c r="B41" s="151">
        <v>2</v>
      </c>
      <c r="C41" s="7"/>
      <c r="D41" s="7"/>
      <c r="E41" s="7"/>
      <c r="F41" s="7">
        <v>2</v>
      </c>
      <c r="G41" s="518"/>
      <c r="H41" s="1032"/>
      <c r="I41" s="1032"/>
      <c r="J41" s="554"/>
      <c r="K41" s="547"/>
    </row>
    <row r="42" spans="1:12" ht="15.75" hidden="1" customHeight="1" outlineLevel="1" thickBot="1" x14ac:dyDescent="0.3">
      <c r="A42" s="166" t="s">
        <v>14</v>
      </c>
      <c r="B42" s="146"/>
      <c r="C42" s="8">
        <v>2</v>
      </c>
      <c r="D42" s="8">
        <v>2</v>
      </c>
      <c r="E42" s="8"/>
      <c r="F42" s="8"/>
      <c r="G42" s="521">
        <v>2</v>
      </c>
      <c r="H42" s="1037"/>
      <c r="I42" s="1037"/>
      <c r="J42" s="560"/>
      <c r="K42" s="561"/>
    </row>
    <row r="43" spans="1:12" ht="15.75" hidden="1" customHeight="1" outlineLevel="1" thickBot="1" x14ac:dyDescent="0.3">
      <c r="A43" s="171" t="s">
        <v>7</v>
      </c>
      <c r="B43" s="152">
        <f t="shared" ref="B43:I43" si="82">SUM(B30:B35)+SUM(B37:B42)</f>
        <v>4</v>
      </c>
      <c r="C43" s="100">
        <f t="shared" si="82"/>
        <v>4</v>
      </c>
      <c r="D43" s="100">
        <f t="shared" si="82"/>
        <v>4</v>
      </c>
      <c r="E43" s="100">
        <f t="shared" si="82"/>
        <v>4</v>
      </c>
      <c r="F43" s="100">
        <f>SUM(F30:F35)+SUM(F37:F42)</f>
        <v>4</v>
      </c>
      <c r="G43" s="522">
        <f t="shared" si="82"/>
        <v>4</v>
      </c>
      <c r="H43" s="1038">
        <f t="shared" si="82"/>
        <v>4</v>
      </c>
      <c r="I43" s="1038">
        <f t="shared" si="82"/>
        <v>4</v>
      </c>
      <c r="J43" s="562"/>
      <c r="K43" s="563"/>
      <c r="L43" s="64" t="s">
        <v>43</v>
      </c>
    </row>
    <row r="44" spans="1:12" ht="15.75" hidden="1" customHeight="1" outlineLevel="1" thickBot="1" x14ac:dyDescent="0.3">
      <c r="A44" s="34"/>
      <c r="B44" s="34"/>
      <c r="C44" s="34"/>
      <c r="D44" s="34"/>
      <c r="E44" s="34"/>
      <c r="F44" s="34"/>
      <c r="G44" s="34"/>
      <c r="H44" s="34"/>
      <c r="I44" s="34"/>
      <c r="J44" s="34"/>
      <c r="K44" s="34"/>
    </row>
    <row r="45" spans="1:12" ht="15.75" hidden="1" customHeight="1" outlineLevel="1" thickBot="1" x14ac:dyDescent="0.3">
      <c r="A45" s="171" t="s">
        <v>45</v>
      </c>
      <c r="B45" s="175" t="str">
        <f>B$1</f>
        <v>Tip</v>
      </c>
      <c r="C45" s="158" t="str">
        <f t="shared" ref="C45:I45" si="83">C$1</f>
        <v>Zabrarallongex</v>
      </c>
      <c r="D45" s="158" t="str">
        <f t="shared" si="83"/>
        <v>Belica</v>
      </c>
      <c r="E45" s="158" t="str">
        <f t="shared" si="83"/>
        <v>Eddruk</v>
      </c>
      <c r="F45" s="158" t="str">
        <f t="shared" si="83"/>
        <v>Thalion</v>
      </c>
      <c r="G45" s="158" t="str">
        <f t="shared" si="83"/>
        <v>Osharys</v>
      </c>
      <c r="H45" s="158" t="str">
        <f t="shared" si="83"/>
        <v>Ithiel Theodrek</v>
      </c>
      <c r="I45" s="158" t="str">
        <f t="shared" si="83"/>
        <v>Gartuk</v>
      </c>
      <c r="J45" s="558" t="s">
        <v>545</v>
      </c>
      <c r="K45" s="559"/>
      <c r="L45" s="64" t="s">
        <v>46</v>
      </c>
    </row>
    <row r="46" spans="1:12" ht="15.75" hidden="1" customHeight="1" outlineLevel="1" x14ac:dyDescent="0.25">
      <c r="A46" s="160" t="s">
        <v>10</v>
      </c>
      <c r="B46" s="151"/>
      <c r="C46" s="7"/>
      <c r="D46" s="7"/>
      <c r="E46" s="7"/>
      <c r="F46" s="7"/>
      <c r="G46" s="7"/>
      <c r="H46" s="7"/>
      <c r="I46" s="7"/>
      <c r="J46" s="554">
        <v>-2</v>
      </c>
      <c r="K46" s="547"/>
      <c r="L46" s="64"/>
    </row>
    <row r="47" spans="1:12" ht="15.75" hidden="1" customHeight="1" outlineLevel="1" x14ac:dyDescent="0.25">
      <c r="A47" s="160" t="s">
        <v>11</v>
      </c>
      <c r="B47" s="151"/>
      <c r="C47" s="7"/>
      <c r="D47" s="7"/>
      <c r="E47" s="7"/>
      <c r="F47" s="7"/>
      <c r="G47" s="7"/>
      <c r="H47" s="7"/>
      <c r="I47" s="7"/>
      <c r="J47" s="554">
        <v>-2</v>
      </c>
      <c r="K47" s="547"/>
    </row>
    <row r="48" spans="1:12" ht="15.75" hidden="1" customHeight="1" outlineLevel="1" x14ac:dyDescent="0.25">
      <c r="A48" s="160" t="s">
        <v>8</v>
      </c>
      <c r="B48" s="151"/>
      <c r="C48" s="7"/>
      <c r="D48" s="7"/>
      <c r="E48" s="7"/>
      <c r="F48" s="7"/>
      <c r="G48" s="7"/>
      <c r="H48" s="7"/>
      <c r="I48" s="7"/>
      <c r="J48" s="554">
        <v>-6</v>
      </c>
      <c r="K48" s="547"/>
    </row>
    <row r="49" spans="1:12" ht="15.75" hidden="1" customHeight="1" outlineLevel="1" x14ac:dyDescent="0.25">
      <c r="A49" s="160" t="s">
        <v>12</v>
      </c>
      <c r="B49" s="151"/>
      <c r="C49" s="7"/>
      <c r="D49" s="7"/>
      <c r="E49" s="7"/>
      <c r="F49" s="7"/>
      <c r="G49" s="7"/>
      <c r="H49" s="7"/>
      <c r="I49" s="7"/>
      <c r="J49" s="554"/>
      <c r="K49" s="547"/>
    </row>
    <row r="50" spans="1:12" ht="15.75" hidden="1" customHeight="1" outlineLevel="1" x14ac:dyDescent="0.25">
      <c r="A50" s="160" t="s">
        <v>13</v>
      </c>
      <c r="B50" s="151"/>
      <c r="C50" s="7"/>
      <c r="D50" s="7"/>
      <c r="E50" s="7"/>
      <c r="F50" s="7"/>
      <c r="G50" s="7"/>
      <c r="H50" s="7"/>
      <c r="I50" s="7"/>
      <c r="J50" s="554"/>
      <c r="K50" s="547"/>
    </row>
    <row r="51" spans="1:12" ht="15.75" hidden="1" customHeight="1" outlineLevel="1" thickBot="1" x14ac:dyDescent="0.3">
      <c r="A51" s="166" t="s">
        <v>14</v>
      </c>
      <c r="B51" s="146"/>
      <c r="C51" s="8"/>
      <c r="D51" s="8"/>
      <c r="E51" s="8"/>
      <c r="F51" s="8"/>
      <c r="G51" s="8"/>
      <c r="H51" s="8"/>
      <c r="I51" s="8"/>
      <c r="J51" s="560">
        <v>-4</v>
      </c>
      <c r="K51" s="561"/>
    </row>
    <row r="52" spans="1:12" ht="15.75" hidden="1" customHeight="1" outlineLevel="1" collapsed="1" thickBot="1" x14ac:dyDescent="0.3">
      <c r="A52" s="34"/>
      <c r="B52" s="34"/>
      <c r="C52" s="34"/>
      <c r="D52" s="34"/>
      <c r="E52" s="34"/>
      <c r="F52" s="34"/>
      <c r="G52" s="34"/>
      <c r="H52" s="34"/>
      <c r="I52" s="34"/>
      <c r="J52" s="34"/>
      <c r="K52" s="34"/>
    </row>
    <row r="53" spans="1:12" ht="15.75" hidden="1" customHeight="1" outlineLevel="1" thickBot="1" x14ac:dyDescent="0.3">
      <c r="A53" s="164" t="s">
        <v>42</v>
      </c>
      <c r="B53" s="175" t="str">
        <f>B$1</f>
        <v>Tip</v>
      </c>
      <c r="C53" s="158" t="str">
        <f t="shared" ref="C53:I53" si="84">C$1</f>
        <v>Zabrarallongex</v>
      </c>
      <c r="D53" s="158" t="str">
        <f t="shared" si="84"/>
        <v>Belica</v>
      </c>
      <c r="E53" s="158" t="str">
        <f t="shared" si="84"/>
        <v>Eddruk</v>
      </c>
      <c r="F53" s="158" t="str">
        <f t="shared" si="84"/>
        <v>Thalion</v>
      </c>
      <c r="G53" s="158" t="str">
        <f t="shared" si="84"/>
        <v>Osharys</v>
      </c>
      <c r="H53" s="158" t="str">
        <f t="shared" si="84"/>
        <v>Ithiel Theodrek</v>
      </c>
      <c r="I53" s="159" t="str">
        <f t="shared" si="84"/>
        <v>Gartuk</v>
      </c>
      <c r="K53" s="34"/>
      <c r="L53" s="34"/>
    </row>
    <row r="54" spans="1:12" ht="30.75" hidden="1" outlineLevel="1" thickBot="1" x14ac:dyDescent="0.3">
      <c r="A54" s="165" t="s">
        <v>40</v>
      </c>
      <c r="B54" s="1039" t="str">
        <f>Création!B7</f>
        <v>Haunting Vision</v>
      </c>
      <c r="C54" s="257" t="str">
        <f>Création!C7</f>
        <v>Truth Seeker</v>
      </c>
      <c r="D54" s="258" t="str">
        <f>Création!D7</f>
        <v>Artist</v>
      </c>
      <c r="E54" s="257" t="str">
        <f>Création!E7</f>
        <v>Martial Disciple</v>
      </c>
      <c r="F54" s="257" t="str">
        <f>Création!F7</f>
        <v>Dragon Scholar</v>
      </c>
      <c r="G54" s="257" t="str">
        <f>Création!G7</f>
        <v>Returning Descendant</v>
      </c>
      <c r="H54" s="257" t="str">
        <f>Création!H7</f>
        <v>Warrior</v>
      </c>
      <c r="I54" s="1040" t="str">
        <f>Création!I7</f>
        <v>Cook</v>
      </c>
      <c r="K54" s="34"/>
      <c r="L54" s="34"/>
    </row>
    <row r="55" spans="1:12" ht="15.75" hidden="1" customHeight="1" outlineLevel="1" x14ac:dyDescent="0.25">
      <c r="A55" s="174" t="s">
        <v>10</v>
      </c>
      <c r="B55" s="1041"/>
      <c r="C55" s="259"/>
      <c r="D55" s="101"/>
      <c r="E55" s="259">
        <v>2</v>
      </c>
      <c r="F55" s="259"/>
      <c r="G55" s="101"/>
      <c r="H55" s="259">
        <v>2</v>
      </c>
      <c r="I55" s="1050"/>
      <c r="K55" s="34"/>
      <c r="L55" s="64" t="s">
        <v>96</v>
      </c>
    </row>
    <row r="56" spans="1:12" ht="15.75" hidden="1" customHeight="1" outlineLevel="1" x14ac:dyDescent="0.25">
      <c r="A56" s="160" t="s">
        <v>11</v>
      </c>
      <c r="B56" s="1042"/>
      <c r="C56" s="7"/>
      <c r="D56" s="7"/>
      <c r="E56" s="260">
        <v>2</v>
      </c>
      <c r="F56" s="7"/>
      <c r="G56" s="260">
        <v>2</v>
      </c>
      <c r="H56" s="7"/>
      <c r="I56" s="1043">
        <v>2</v>
      </c>
      <c r="K56" s="34"/>
      <c r="L56" s="64"/>
    </row>
    <row r="57" spans="1:12" ht="15.75" hidden="1" customHeight="1" outlineLevel="1" x14ac:dyDescent="0.25">
      <c r="A57" s="160" t="s">
        <v>8</v>
      </c>
      <c r="B57" s="1044"/>
      <c r="C57" s="7"/>
      <c r="D57" s="7"/>
      <c r="E57" s="7"/>
      <c r="F57" s="7"/>
      <c r="G57" s="7"/>
      <c r="H57" s="260">
        <v>2</v>
      </c>
      <c r="I57" s="1045">
        <v>2</v>
      </c>
      <c r="K57" s="34"/>
    </row>
    <row r="58" spans="1:12" ht="15.75" hidden="1" customHeight="1" outlineLevel="1" x14ac:dyDescent="0.25">
      <c r="A58" s="160" t="s">
        <v>12</v>
      </c>
      <c r="B58" s="1042"/>
      <c r="C58" s="7">
        <v>2</v>
      </c>
      <c r="D58" s="7">
        <v>2</v>
      </c>
      <c r="E58" s="7"/>
      <c r="F58" s="7"/>
      <c r="G58" s="7"/>
      <c r="H58" s="7"/>
      <c r="I58" s="1045"/>
      <c r="K58" s="34"/>
    </row>
    <row r="59" spans="1:12" ht="15.75" hidden="1" customHeight="1" outlineLevel="1" x14ac:dyDescent="0.25">
      <c r="A59" s="160" t="s">
        <v>13</v>
      </c>
      <c r="B59" s="1044">
        <v>2</v>
      </c>
      <c r="C59" s="260">
        <v>2</v>
      </c>
      <c r="D59" s="260"/>
      <c r="E59" s="7"/>
      <c r="F59" s="7">
        <v>2</v>
      </c>
      <c r="G59" s="260"/>
      <c r="H59" s="7"/>
      <c r="I59" s="1043"/>
      <c r="K59" s="34"/>
    </row>
    <row r="60" spans="1:12" ht="15.75" hidden="1" customHeight="1" outlineLevel="1" thickBot="1" x14ac:dyDescent="0.3">
      <c r="A60" s="166" t="s">
        <v>14</v>
      </c>
      <c r="B60" s="1046">
        <v>2</v>
      </c>
      <c r="C60" s="8"/>
      <c r="D60" s="260">
        <v>2</v>
      </c>
      <c r="E60" s="8"/>
      <c r="F60" s="261">
        <v>2</v>
      </c>
      <c r="G60" s="8">
        <v>2</v>
      </c>
      <c r="H60" s="8"/>
      <c r="I60" s="1047"/>
      <c r="K60" s="34"/>
    </row>
    <row r="61" spans="1:12" ht="15.75" hidden="1" customHeight="1" outlineLevel="1" thickBot="1" x14ac:dyDescent="0.3">
      <c r="A61" s="166" t="s">
        <v>17</v>
      </c>
      <c r="B61" s="1048">
        <f t="shared" ref="B61:H61" si="85">SUM(B55:B60)</f>
        <v>4</v>
      </c>
      <c r="C61" s="100">
        <f t="shared" si="85"/>
        <v>4</v>
      </c>
      <c r="D61" s="100">
        <f t="shared" si="85"/>
        <v>4</v>
      </c>
      <c r="E61" s="100">
        <f t="shared" si="85"/>
        <v>4</v>
      </c>
      <c r="F61" s="100">
        <f>SUM(F55:F60)</f>
        <v>4</v>
      </c>
      <c r="G61" s="100">
        <f t="shared" si="85"/>
        <v>4</v>
      </c>
      <c r="H61" s="100">
        <f t="shared" si="85"/>
        <v>4</v>
      </c>
      <c r="I61" s="1049">
        <f t="shared" ref="I61" si="86">SUM(I55:I60)</f>
        <v>4</v>
      </c>
      <c r="K61" s="34"/>
      <c r="L61" s="64" t="s">
        <v>43</v>
      </c>
    </row>
    <row r="62" spans="1:12" ht="15.75" hidden="1" customHeight="1" outlineLevel="1" collapsed="1" thickBot="1" x14ac:dyDescent="0.3">
      <c r="A62" s="34"/>
      <c r="B62" s="34"/>
      <c r="C62" s="34"/>
      <c r="D62" s="34"/>
      <c r="E62" s="34"/>
      <c r="F62" s="34"/>
      <c r="G62" s="34"/>
      <c r="H62" s="34"/>
      <c r="I62" s="34"/>
      <c r="K62" s="34"/>
      <c r="L62" s="34"/>
    </row>
    <row r="63" spans="1:12" ht="15.75" hidden="1" customHeight="1" outlineLevel="1" thickBot="1" x14ac:dyDescent="0.3">
      <c r="A63" s="164" t="s">
        <v>25</v>
      </c>
      <c r="B63" s="157" t="str">
        <f>B$1</f>
        <v>Tip</v>
      </c>
      <c r="C63" s="158" t="str">
        <f t="shared" ref="C63:I63" si="87">C$1</f>
        <v>Zabrarallongex</v>
      </c>
      <c r="D63" s="158" t="str">
        <f t="shared" si="87"/>
        <v>Belica</v>
      </c>
      <c r="E63" s="158" t="str">
        <f t="shared" si="87"/>
        <v>Eddruk</v>
      </c>
      <c r="F63" s="158" t="str">
        <f t="shared" si="87"/>
        <v>Thalion</v>
      </c>
      <c r="G63" s="158" t="str">
        <f t="shared" si="87"/>
        <v>Osharys</v>
      </c>
      <c r="H63" s="158" t="str">
        <f t="shared" si="87"/>
        <v>Ithiel Theodrek</v>
      </c>
      <c r="I63" s="159" t="str">
        <f t="shared" si="87"/>
        <v>Gartuk</v>
      </c>
      <c r="K63" s="34"/>
      <c r="L63" s="34"/>
    </row>
    <row r="64" spans="1:12" ht="15.75" hidden="1" customHeight="1" outlineLevel="1" thickBot="1" x14ac:dyDescent="0.3">
      <c r="A64" s="165"/>
      <c r="B64" s="163" t="str">
        <f>'Dés de vie'!B11</f>
        <v>WIS</v>
      </c>
      <c r="C64" s="162" t="str">
        <f>'Dés de vie'!C11</f>
        <v>INT</v>
      </c>
      <c r="D64" s="162" t="str">
        <f>'Dés de vie'!D11</f>
        <v>CHA</v>
      </c>
      <c r="E64" s="162" t="str">
        <f>'Dés de vie'!E11</f>
        <v>STR</v>
      </c>
      <c r="F64" s="162" t="str">
        <f>'Dés de vie'!F11</f>
        <v>WIS</v>
      </c>
      <c r="G64" s="162" t="str">
        <f>'Dés de vie'!G11</f>
        <v>CHA</v>
      </c>
      <c r="H64" s="162" t="str">
        <f>'Dés de vie'!H11</f>
        <v>STR</v>
      </c>
      <c r="I64" s="1051" t="s">
        <v>11</v>
      </c>
      <c r="K64" s="34"/>
      <c r="L64" s="34"/>
    </row>
    <row r="65" spans="1:12" ht="15.75" hidden="1" customHeight="1" outlineLevel="1" x14ac:dyDescent="0.25">
      <c r="A65" s="160" t="s">
        <v>10</v>
      </c>
      <c r="B65" s="151"/>
      <c r="C65" s="7"/>
      <c r="D65" s="7"/>
      <c r="E65" s="260">
        <v>2</v>
      </c>
      <c r="F65" s="7"/>
      <c r="G65" s="7"/>
      <c r="H65" s="260">
        <v>2</v>
      </c>
      <c r="I65" s="1043"/>
      <c r="K65" s="34"/>
      <c r="L65" s="64" t="s">
        <v>124</v>
      </c>
    </row>
    <row r="66" spans="1:12" ht="15.75" hidden="1" customHeight="1" outlineLevel="1" x14ac:dyDescent="0.25">
      <c r="A66" s="160" t="s">
        <v>11</v>
      </c>
      <c r="B66" s="151"/>
      <c r="C66" s="7"/>
      <c r="D66" s="7"/>
      <c r="E66" s="7"/>
      <c r="F66" s="7"/>
      <c r="G66" s="7"/>
      <c r="H66" s="7"/>
      <c r="I66" s="1045">
        <v>2</v>
      </c>
      <c r="K66" s="34"/>
    </row>
    <row r="67" spans="1:12" ht="15.75" hidden="1" customHeight="1" outlineLevel="1" x14ac:dyDescent="0.25">
      <c r="A67" s="160" t="s">
        <v>8</v>
      </c>
      <c r="B67" s="151"/>
      <c r="C67" s="7"/>
      <c r="D67" s="7"/>
      <c r="E67" s="7"/>
      <c r="F67" s="7"/>
      <c r="G67" s="7"/>
      <c r="H67" s="7"/>
      <c r="I67" s="1043"/>
      <c r="K67" s="34"/>
    </row>
    <row r="68" spans="1:12" ht="15.75" hidden="1" customHeight="1" outlineLevel="1" x14ac:dyDescent="0.25">
      <c r="A68" s="160" t="s">
        <v>12</v>
      </c>
      <c r="B68" s="151"/>
      <c r="C68" s="260">
        <v>2</v>
      </c>
      <c r="D68" s="7"/>
      <c r="E68" s="7"/>
      <c r="F68" s="7"/>
      <c r="G68" s="7"/>
      <c r="H68" s="7"/>
      <c r="I68" s="1043"/>
      <c r="K68" s="34"/>
    </row>
    <row r="69" spans="1:12" ht="15.75" hidden="1" customHeight="1" outlineLevel="1" x14ac:dyDescent="0.25">
      <c r="A69" s="160" t="s">
        <v>13</v>
      </c>
      <c r="B69" s="262">
        <v>2</v>
      </c>
      <c r="C69" s="7"/>
      <c r="D69" s="7"/>
      <c r="E69" s="7"/>
      <c r="F69" s="260">
        <v>2</v>
      </c>
      <c r="G69" s="7"/>
      <c r="H69" s="7"/>
      <c r="I69" s="1043"/>
      <c r="K69" s="34"/>
    </row>
    <row r="70" spans="1:12" ht="15.75" hidden="1" customHeight="1" outlineLevel="1" thickBot="1" x14ac:dyDescent="0.3">
      <c r="A70" s="166" t="s">
        <v>14</v>
      </c>
      <c r="B70" s="146"/>
      <c r="C70" s="8"/>
      <c r="D70" s="261">
        <v>2</v>
      </c>
      <c r="E70" s="8"/>
      <c r="F70" s="8"/>
      <c r="G70" s="261">
        <v>2</v>
      </c>
      <c r="H70" s="8"/>
      <c r="I70" s="1047"/>
      <c r="K70" s="34"/>
    </row>
    <row r="71" spans="1:12" ht="15.75" hidden="1" customHeight="1" outlineLevel="1" thickBot="1" x14ac:dyDescent="0.3">
      <c r="A71" s="166" t="s">
        <v>18</v>
      </c>
      <c r="B71" s="167">
        <f t="shared" ref="B71:H71" si="88">SUM(B65:B70)</f>
        <v>2</v>
      </c>
      <c r="C71" s="168">
        <f t="shared" si="88"/>
        <v>2</v>
      </c>
      <c r="D71" s="168">
        <f t="shared" si="88"/>
        <v>2</v>
      </c>
      <c r="E71" s="168">
        <f t="shared" si="88"/>
        <v>2</v>
      </c>
      <c r="F71" s="168">
        <f>SUM(F65:F70)</f>
        <v>2</v>
      </c>
      <c r="G71" s="168">
        <f t="shared" si="88"/>
        <v>2</v>
      </c>
      <c r="H71" s="168">
        <f t="shared" si="88"/>
        <v>2</v>
      </c>
      <c r="I71" s="1052">
        <f t="shared" ref="I71" si="89">SUM(I65:I70)</f>
        <v>2</v>
      </c>
      <c r="K71" s="34"/>
      <c r="L71" s="64" t="s">
        <v>50</v>
      </c>
    </row>
    <row r="72" spans="1:12" ht="15.75" hidden="1" customHeight="1" outlineLevel="1" thickBot="1" x14ac:dyDescent="0.3">
      <c r="A72" s="34"/>
      <c r="B72" s="34"/>
      <c r="C72" s="34"/>
      <c r="D72" s="34"/>
      <c r="E72" s="34"/>
      <c r="F72" s="34"/>
      <c r="G72" s="34"/>
      <c r="H72" s="34"/>
      <c r="I72" s="34"/>
      <c r="K72" s="34"/>
    </row>
    <row r="73" spans="1:12" ht="15.75" hidden="1" customHeight="1" outlineLevel="1" thickBot="1" x14ac:dyDescent="0.3">
      <c r="A73" s="171" t="s">
        <v>135</v>
      </c>
      <c r="B73" s="157" t="str">
        <f>B$1</f>
        <v>Tip</v>
      </c>
      <c r="C73" s="158" t="str">
        <f t="shared" ref="C73:I73" si="90">C$1</f>
        <v>Zabrarallongex</v>
      </c>
      <c r="D73" s="158" t="str">
        <f t="shared" si="90"/>
        <v>Belica</v>
      </c>
      <c r="E73" s="158" t="str">
        <f t="shared" si="90"/>
        <v>Eddruk</v>
      </c>
      <c r="F73" s="158" t="str">
        <f t="shared" si="90"/>
        <v>Thalion</v>
      </c>
      <c r="G73" s="158" t="str">
        <f t="shared" si="90"/>
        <v>Osharys</v>
      </c>
      <c r="H73" s="158" t="str">
        <f t="shared" si="90"/>
        <v>Ithiel Theodrek</v>
      </c>
      <c r="I73" s="159" t="str">
        <f t="shared" si="90"/>
        <v>Gartuk</v>
      </c>
      <c r="K73" s="34"/>
    </row>
    <row r="74" spans="1:12" ht="15.75" hidden="1" customHeight="1" outlineLevel="1" x14ac:dyDescent="0.25">
      <c r="A74" s="160" t="s">
        <v>10</v>
      </c>
      <c r="B74" s="150"/>
      <c r="C74" s="97"/>
      <c r="D74" s="97"/>
      <c r="E74" s="97">
        <v>2</v>
      </c>
      <c r="F74" s="97"/>
      <c r="G74" s="97">
        <v>2</v>
      </c>
      <c r="H74" s="97">
        <v>2</v>
      </c>
      <c r="I74" s="1053"/>
      <c r="K74" s="34"/>
      <c r="L74" s="64" t="s">
        <v>48</v>
      </c>
    </row>
    <row r="75" spans="1:12" ht="15.75" hidden="1" customHeight="1" outlineLevel="1" x14ac:dyDescent="0.25">
      <c r="A75" s="160" t="s">
        <v>11</v>
      </c>
      <c r="B75" s="151">
        <v>2</v>
      </c>
      <c r="C75" s="7"/>
      <c r="D75" s="7">
        <v>2</v>
      </c>
      <c r="E75" s="7">
        <v>2</v>
      </c>
      <c r="F75" s="7">
        <v>2</v>
      </c>
      <c r="G75" s="7">
        <v>2</v>
      </c>
      <c r="H75" s="7">
        <v>2</v>
      </c>
      <c r="I75" s="1043">
        <v>2</v>
      </c>
      <c r="K75" s="34"/>
    </row>
    <row r="76" spans="1:12" ht="15.75" hidden="1" customHeight="1" outlineLevel="1" x14ac:dyDescent="0.25">
      <c r="A76" s="160" t="s">
        <v>8</v>
      </c>
      <c r="B76" s="151"/>
      <c r="C76" s="7">
        <v>2</v>
      </c>
      <c r="D76" s="7">
        <v>2</v>
      </c>
      <c r="E76" s="7">
        <v>2</v>
      </c>
      <c r="F76" s="7">
        <v>2</v>
      </c>
      <c r="G76" s="7">
        <v>2</v>
      </c>
      <c r="H76" s="7">
        <v>2</v>
      </c>
      <c r="I76" s="1043">
        <v>2</v>
      </c>
      <c r="K76" s="34"/>
    </row>
    <row r="77" spans="1:12" ht="15.75" hidden="1" customHeight="1" outlineLevel="1" x14ac:dyDescent="0.25">
      <c r="A77" s="160" t="s">
        <v>12</v>
      </c>
      <c r="B77" s="151">
        <v>2</v>
      </c>
      <c r="C77" s="7">
        <v>2</v>
      </c>
      <c r="D77" s="7"/>
      <c r="E77" s="7">
        <v>2</v>
      </c>
      <c r="F77" s="7"/>
      <c r="G77" s="7"/>
      <c r="H77" s="7"/>
      <c r="I77" s="1043">
        <v>2</v>
      </c>
      <c r="K77" s="34"/>
    </row>
    <row r="78" spans="1:12" ht="15.75" hidden="1" customHeight="1" outlineLevel="1" x14ac:dyDescent="0.25">
      <c r="A78" s="160" t="s">
        <v>13</v>
      </c>
      <c r="B78" s="151">
        <v>2</v>
      </c>
      <c r="C78" s="7">
        <v>2</v>
      </c>
      <c r="D78" s="7">
        <v>2</v>
      </c>
      <c r="E78" s="7"/>
      <c r="F78" s="7">
        <v>2</v>
      </c>
      <c r="G78" s="7"/>
      <c r="H78" s="7">
        <v>2</v>
      </c>
      <c r="I78" s="1043"/>
      <c r="K78" s="34"/>
    </row>
    <row r="79" spans="1:12" ht="15.75" hidden="1" customHeight="1" outlineLevel="1" thickBot="1" x14ac:dyDescent="0.3">
      <c r="A79" s="172" t="s">
        <v>14</v>
      </c>
      <c r="B79" s="169">
        <v>2</v>
      </c>
      <c r="C79" s="102">
        <v>2</v>
      </c>
      <c r="D79" s="102">
        <v>2</v>
      </c>
      <c r="E79" s="102"/>
      <c r="F79" s="102">
        <v>2</v>
      </c>
      <c r="G79" s="102">
        <v>2</v>
      </c>
      <c r="H79" s="102"/>
      <c r="I79" s="1054">
        <v>2</v>
      </c>
      <c r="K79" s="34"/>
    </row>
    <row r="80" spans="1:12" ht="15.75" hidden="1" customHeight="1" outlineLevel="1" thickBot="1" x14ac:dyDescent="0.3">
      <c r="A80" s="173" t="s">
        <v>15</v>
      </c>
      <c r="B80" s="170">
        <f t="shared" ref="B80:H80" si="91">SUM(B74:B79)</f>
        <v>8</v>
      </c>
      <c r="C80" s="134">
        <f t="shared" si="91"/>
        <v>8</v>
      </c>
      <c r="D80" s="134">
        <f t="shared" si="91"/>
        <v>8</v>
      </c>
      <c r="E80" s="134">
        <f t="shared" si="91"/>
        <v>8</v>
      </c>
      <c r="F80" s="134">
        <f>SUM(F74:F79)</f>
        <v>8</v>
      </c>
      <c r="G80" s="134">
        <f t="shared" si="91"/>
        <v>8</v>
      </c>
      <c r="H80" s="134">
        <f t="shared" si="91"/>
        <v>8</v>
      </c>
      <c r="I80" s="1055">
        <f t="shared" ref="I80" si="92">SUM(I74:I79)</f>
        <v>8</v>
      </c>
      <c r="K80" s="34"/>
      <c r="L80" s="64" t="s">
        <v>49</v>
      </c>
    </row>
    <row r="81" spans="1:12" ht="15.75" hidden="1" customHeight="1" outlineLevel="1" collapsed="1" thickBot="1" x14ac:dyDescent="0.3">
      <c r="A81" s="34"/>
      <c r="B81" s="34"/>
      <c r="C81" s="34"/>
      <c r="D81" s="34"/>
      <c r="E81" s="34"/>
      <c r="F81" s="34"/>
      <c r="G81" s="34"/>
      <c r="H81" s="34"/>
      <c r="I81" s="34"/>
      <c r="K81" s="34"/>
    </row>
    <row r="82" spans="1:12" ht="15.75" hidden="1" customHeight="1" outlineLevel="1" collapsed="1" thickBot="1" x14ac:dyDescent="0.3">
      <c r="A82" s="171" t="s">
        <v>136</v>
      </c>
      <c r="B82" s="157" t="str">
        <f>B$1</f>
        <v>Tip</v>
      </c>
      <c r="C82" s="158" t="str">
        <f t="shared" ref="C82:I82" si="93">C$1</f>
        <v>Zabrarallongex</v>
      </c>
      <c r="D82" s="158" t="str">
        <f t="shared" si="93"/>
        <v>Belica</v>
      </c>
      <c r="E82" s="158" t="str">
        <f t="shared" si="93"/>
        <v>Eddruk</v>
      </c>
      <c r="F82" s="158" t="str">
        <f t="shared" si="93"/>
        <v>Thalion</v>
      </c>
      <c r="G82" s="158" t="str">
        <f t="shared" si="93"/>
        <v>Osharys</v>
      </c>
      <c r="H82" s="158" t="str">
        <f t="shared" si="93"/>
        <v>Ithiel Theodrek</v>
      </c>
      <c r="I82" s="158" t="str">
        <f t="shared" si="93"/>
        <v>Gartuk</v>
      </c>
      <c r="J82" s="1191" t="s">
        <v>875</v>
      </c>
      <c r="K82" s="34"/>
    </row>
    <row r="83" spans="1:12" ht="15.75" hidden="1" customHeight="1" outlineLevel="1" x14ac:dyDescent="0.25">
      <c r="A83" s="160" t="s">
        <v>10</v>
      </c>
      <c r="B83" s="150"/>
      <c r="C83" s="97"/>
      <c r="D83" s="97">
        <v>2</v>
      </c>
      <c r="E83" s="97">
        <v>2</v>
      </c>
      <c r="F83" s="97"/>
      <c r="G83" s="97">
        <v>2</v>
      </c>
      <c r="H83" s="97">
        <v>2</v>
      </c>
      <c r="I83" s="97"/>
      <c r="J83" s="554">
        <v>2</v>
      </c>
      <c r="K83" s="34"/>
      <c r="L83" s="64" t="s">
        <v>48</v>
      </c>
    </row>
    <row r="84" spans="1:12" ht="15.75" hidden="1" customHeight="1" outlineLevel="1" x14ac:dyDescent="0.25">
      <c r="A84" s="160" t="s">
        <v>11</v>
      </c>
      <c r="B84" s="151">
        <v>2</v>
      </c>
      <c r="C84" s="7">
        <v>2</v>
      </c>
      <c r="D84" s="7">
        <v>2</v>
      </c>
      <c r="E84" s="7">
        <v>2</v>
      </c>
      <c r="F84" s="7">
        <v>2</v>
      </c>
      <c r="G84" s="7">
        <v>2</v>
      </c>
      <c r="H84" s="7">
        <v>2</v>
      </c>
      <c r="I84" s="7">
        <v>2</v>
      </c>
      <c r="J84" s="554">
        <v>2</v>
      </c>
      <c r="K84" s="34"/>
    </row>
    <row r="85" spans="1:12" ht="15.75" hidden="1" customHeight="1" outlineLevel="1" x14ac:dyDescent="0.25">
      <c r="A85" s="160" t="s">
        <v>8</v>
      </c>
      <c r="B85" s="151"/>
      <c r="C85" s="7">
        <v>2</v>
      </c>
      <c r="D85" s="7">
        <v>2</v>
      </c>
      <c r="E85" s="7">
        <v>2</v>
      </c>
      <c r="F85" s="7"/>
      <c r="G85" s="7">
        <v>2</v>
      </c>
      <c r="H85" s="7">
        <v>2</v>
      </c>
      <c r="I85" s="7">
        <v>2</v>
      </c>
      <c r="J85" s="554">
        <v>2</v>
      </c>
      <c r="K85" s="34"/>
    </row>
    <row r="86" spans="1:12" ht="15.75" hidden="1" customHeight="1" outlineLevel="1" x14ac:dyDescent="0.25">
      <c r="A86" s="160" t="s">
        <v>12</v>
      </c>
      <c r="B86" s="151">
        <v>2</v>
      </c>
      <c r="C86" s="7">
        <v>2</v>
      </c>
      <c r="D86" s="7"/>
      <c r="E86" s="7"/>
      <c r="F86" s="7">
        <v>2</v>
      </c>
      <c r="G86" s="7"/>
      <c r="H86" s="7"/>
      <c r="I86" s="7">
        <v>2</v>
      </c>
      <c r="J86" s="554"/>
      <c r="K86" s="34"/>
    </row>
    <row r="87" spans="1:12" ht="15.75" hidden="1" customHeight="1" outlineLevel="1" x14ac:dyDescent="0.25">
      <c r="A87" s="160" t="s">
        <v>13</v>
      </c>
      <c r="B87" s="151">
        <v>2</v>
      </c>
      <c r="C87" s="7">
        <v>2</v>
      </c>
      <c r="D87" s="7">
        <v>2</v>
      </c>
      <c r="E87" s="7">
        <v>2</v>
      </c>
      <c r="F87" s="7">
        <v>2</v>
      </c>
      <c r="G87" s="7"/>
      <c r="H87" s="7">
        <v>2</v>
      </c>
      <c r="I87" s="7"/>
      <c r="J87" s="554">
        <v>2</v>
      </c>
      <c r="K87" s="34"/>
    </row>
    <row r="88" spans="1:12" ht="15.75" hidden="1" customHeight="1" outlineLevel="1" thickBot="1" x14ac:dyDescent="0.3">
      <c r="A88" s="172" t="s">
        <v>14</v>
      </c>
      <c r="B88" s="169">
        <v>2</v>
      </c>
      <c r="C88" s="102"/>
      <c r="D88" s="102"/>
      <c r="E88" s="102"/>
      <c r="F88" s="102">
        <v>2</v>
      </c>
      <c r="G88" s="102">
        <v>2</v>
      </c>
      <c r="H88" s="102"/>
      <c r="I88" s="102">
        <v>2</v>
      </c>
      <c r="J88" s="560"/>
      <c r="K88" s="34"/>
    </row>
    <row r="89" spans="1:12" ht="15.75" hidden="1" customHeight="1" outlineLevel="1" thickBot="1" x14ac:dyDescent="0.3">
      <c r="A89" s="173" t="s">
        <v>15</v>
      </c>
      <c r="B89" s="170">
        <f t="shared" ref="B89:E89" si="94">SUM(B83:B88)</f>
        <v>8</v>
      </c>
      <c r="C89" s="134">
        <f t="shared" si="94"/>
        <v>8</v>
      </c>
      <c r="D89" s="134">
        <f t="shared" si="94"/>
        <v>8</v>
      </c>
      <c r="E89" s="134">
        <f t="shared" si="94"/>
        <v>8</v>
      </c>
      <c r="F89" s="134">
        <f>SUM(F83:F88)</f>
        <v>8</v>
      </c>
      <c r="G89" s="134">
        <f t="shared" ref="G89:H89" si="95">SUM(G83:G88)</f>
        <v>8</v>
      </c>
      <c r="H89" s="134">
        <f t="shared" si="95"/>
        <v>8</v>
      </c>
      <c r="I89" s="134">
        <f t="shared" ref="I89:J89" si="96">SUM(I83:I88)</f>
        <v>8</v>
      </c>
      <c r="J89" s="134">
        <f t="shared" si="96"/>
        <v>8</v>
      </c>
      <c r="K89" s="34"/>
      <c r="L89" s="64" t="s">
        <v>49</v>
      </c>
    </row>
    <row r="90" spans="1:12" ht="15.75" hidden="1" customHeight="1" outlineLevel="1" thickBot="1" x14ac:dyDescent="0.3">
      <c r="A90" s="34"/>
      <c r="B90" s="34"/>
      <c r="C90" s="34"/>
      <c r="D90" s="34"/>
      <c r="E90" s="34"/>
      <c r="F90" s="34"/>
      <c r="G90" s="34"/>
      <c r="H90" s="34"/>
      <c r="I90" s="34"/>
      <c r="K90" s="34"/>
    </row>
    <row r="91" spans="1:12" ht="15.75" hidden="1" customHeight="1" outlineLevel="1" thickBot="1" x14ac:dyDescent="0.3">
      <c r="A91" s="171" t="s">
        <v>137</v>
      </c>
      <c r="B91" s="157" t="str">
        <f>B$1</f>
        <v>Tip</v>
      </c>
      <c r="C91" s="158" t="str">
        <f t="shared" ref="C91:I91" si="97">C$1</f>
        <v>Zabrarallongex</v>
      </c>
      <c r="D91" s="158" t="str">
        <f t="shared" si="97"/>
        <v>Belica</v>
      </c>
      <c r="E91" s="158" t="str">
        <f t="shared" si="97"/>
        <v>Eddruk</v>
      </c>
      <c r="F91" s="158" t="str">
        <f t="shared" si="97"/>
        <v>Thalion</v>
      </c>
      <c r="G91" s="158" t="str">
        <f t="shared" si="97"/>
        <v>Osharys</v>
      </c>
      <c r="H91" s="158" t="str">
        <f t="shared" si="97"/>
        <v>Ithiel Theodrek</v>
      </c>
      <c r="I91" s="158" t="str">
        <f t="shared" si="97"/>
        <v>Gartuk</v>
      </c>
      <c r="K91" s="34"/>
    </row>
    <row r="92" spans="1:12" ht="15.75" hidden="1" customHeight="1" outlineLevel="1" x14ac:dyDescent="0.25">
      <c r="A92" s="160" t="s">
        <v>10</v>
      </c>
      <c r="B92" s="150"/>
      <c r="C92" s="97"/>
      <c r="D92" s="97"/>
      <c r="E92" s="97"/>
      <c r="F92" s="97"/>
      <c r="G92" s="97"/>
      <c r="H92" s="97"/>
      <c r="I92" s="97"/>
      <c r="K92" s="34"/>
      <c r="L92" s="64" t="s">
        <v>48</v>
      </c>
    </row>
    <row r="93" spans="1:12" ht="15.75" hidden="1" customHeight="1" outlineLevel="1" x14ac:dyDescent="0.25">
      <c r="A93" s="160" t="s">
        <v>11</v>
      </c>
      <c r="B93" s="151"/>
      <c r="C93" s="7"/>
      <c r="D93" s="7"/>
      <c r="E93" s="7"/>
      <c r="F93" s="7"/>
      <c r="G93" s="7"/>
      <c r="H93" s="7"/>
      <c r="I93" s="7"/>
      <c r="K93" s="34"/>
    </row>
    <row r="94" spans="1:12" ht="15.75" hidden="1" customHeight="1" outlineLevel="1" x14ac:dyDescent="0.25">
      <c r="A94" s="160" t="s">
        <v>8</v>
      </c>
      <c r="B94" s="151"/>
      <c r="C94" s="7"/>
      <c r="D94" s="7"/>
      <c r="E94" s="7"/>
      <c r="F94" s="7"/>
      <c r="G94" s="7"/>
      <c r="H94" s="7"/>
      <c r="I94" s="7"/>
      <c r="K94" s="34"/>
    </row>
    <row r="95" spans="1:12" ht="15.75" hidden="1" customHeight="1" outlineLevel="1" x14ac:dyDescent="0.25">
      <c r="A95" s="160" t="s">
        <v>12</v>
      </c>
      <c r="B95" s="151"/>
      <c r="C95" s="7"/>
      <c r="D95" s="7"/>
      <c r="E95" s="7"/>
      <c r="F95" s="7"/>
      <c r="G95" s="7"/>
      <c r="H95" s="7"/>
      <c r="I95" s="7"/>
      <c r="K95" s="34"/>
    </row>
    <row r="96" spans="1:12" ht="15.75" hidden="1" customHeight="1" outlineLevel="1" x14ac:dyDescent="0.25">
      <c r="A96" s="160" t="s">
        <v>13</v>
      </c>
      <c r="B96" s="151"/>
      <c r="C96" s="7"/>
      <c r="D96" s="7"/>
      <c r="E96" s="7"/>
      <c r="F96" s="7"/>
      <c r="G96" s="7"/>
      <c r="H96" s="7"/>
      <c r="I96" s="7"/>
      <c r="K96" s="34"/>
    </row>
    <row r="97" spans="1:12" ht="15.75" hidden="1" customHeight="1" outlineLevel="1" thickBot="1" x14ac:dyDescent="0.3">
      <c r="A97" s="172" t="s">
        <v>14</v>
      </c>
      <c r="B97" s="169"/>
      <c r="C97" s="102"/>
      <c r="D97" s="102"/>
      <c r="E97" s="102"/>
      <c r="F97" s="102"/>
      <c r="G97" s="102"/>
      <c r="H97" s="102"/>
      <c r="I97" s="102"/>
      <c r="K97" s="34"/>
    </row>
    <row r="98" spans="1:12" ht="15.75" hidden="1" customHeight="1" outlineLevel="1" thickBot="1" x14ac:dyDescent="0.3">
      <c r="A98" s="173" t="s">
        <v>15</v>
      </c>
      <c r="B98" s="170">
        <f t="shared" ref="B98:E98" si="98">SUM(B92:B97)</f>
        <v>0</v>
      </c>
      <c r="C98" s="134">
        <f t="shared" si="98"/>
        <v>0</v>
      </c>
      <c r="D98" s="134">
        <f t="shared" si="98"/>
        <v>0</v>
      </c>
      <c r="E98" s="134">
        <f t="shared" si="98"/>
        <v>0</v>
      </c>
      <c r="F98" s="134">
        <f>SUM(F92:F97)</f>
        <v>0</v>
      </c>
      <c r="G98" s="134">
        <f t="shared" ref="G98:H98" si="99">SUM(G92:G97)</f>
        <v>0</v>
      </c>
      <c r="H98" s="134">
        <f t="shared" si="99"/>
        <v>0</v>
      </c>
      <c r="I98" s="134">
        <f t="shared" ref="I98" si="100">SUM(I92:I97)</f>
        <v>0</v>
      </c>
      <c r="K98" s="34"/>
      <c r="L98" s="64" t="s">
        <v>49</v>
      </c>
    </row>
    <row r="99" spans="1:12" ht="15.75" customHeight="1" collapsed="1" x14ac:dyDescent="0.25">
      <c r="A99" s="34"/>
      <c r="B99" s="34"/>
      <c r="C99" s="34"/>
      <c r="D99" s="34"/>
      <c r="E99" s="34"/>
      <c r="F99" s="34"/>
      <c r="G99" s="34"/>
      <c r="H99" s="34"/>
      <c r="I99" s="34"/>
      <c r="J99" s="34"/>
      <c r="K99" s="34"/>
    </row>
    <row r="100" spans="1:12" ht="15.75" customHeight="1" x14ac:dyDescent="0.25">
      <c r="A100" s="34"/>
      <c r="B100" s="34"/>
      <c r="C100" s="34"/>
      <c r="D100" s="34"/>
      <c r="E100" s="34"/>
      <c r="F100" s="34"/>
      <c r="G100" s="34"/>
      <c r="H100" s="34"/>
      <c r="I100" s="34"/>
      <c r="J100" s="34"/>
      <c r="K100" s="34"/>
    </row>
    <row r="101" spans="1:12" ht="15.75" customHeight="1" x14ac:dyDescent="0.25">
      <c r="A101" s="34"/>
      <c r="B101" s="34"/>
      <c r="C101" s="34"/>
      <c r="D101" s="34"/>
      <c r="E101" s="34"/>
      <c r="F101" s="34"/>
      <c r="G101" s="34"/>
      <c r="H101" s="34"/>
      <c r="I101" s="34"/>
      <c r="J101" s="34"/>
      <c r="K101" s="34"/>
    </row>
    <row r="102" spans="1:12" ht="15.75" customHeight="1" x14ac:dyDescent="0.25">
      <c r="A102" s="34"/>
      <c r="B102" s="34"/>
      <c r="C102" s="34"/>
      <c r="D102" s="34"/>
      <c r="E102" s="34"/>
      <c r="F102" s="34"/>
      <c r="G102" s="34"/>
      <c r="H102" s="34"/>
      <c r="I102" s="34"/>
      <c r="J102" s="34"/>
      <c r="K102" s="34"/>
    </row>
    <row r="103" spans="1:12" ht="15.75" customHeight="1" x14ac:dyDescent="0.25">
      <c r="A103" s="34"/>
      <c r="B103" s="34"/>
      <c r="C103" s="34"/>
      <c r="D103" s="34"/>
      <c r="E103" s="34"/>
      <c r="F103" s="34"/>
      <c r="G103" s="34"/>
      <c r="H103" s="34"/>
      <c r="I103" s="34"/>
      <c r="J103" s="34"/>
      <c r="K103" s="34"/>
    </row>
    <row r="104" spans="1:12" ht="15.75" customHeight="1" x14ac:dyDescent="0.25">
      <c r="A104" s="34"/>
      <c r="B104" s="34"/>
      <c r="C104" s="34"/>
      <c r="D104" s="34"/>
      <c r="E104" s="34"/>
      <c r="F104" s="34"/>
      <c r="G104" s="34"/>
      <c r="H104" s="34"/>
      <c r="I104" s="34"/>
      <c r="J104" s="34"/>
      <c r="K104" s="34"/>
    </row>
    <row r="105" spans="1:12" ht="15.75" customHeight="1" x14ac:dyDescent="0.25">
      <c r="A105" s="34"/>
      <c r="B105" s="34"/>
      <c r="C105" s="34"/>
      <c r="D105" s="34"/>
      <c r="E105" s="34"/>
      <c r="F105" s="34"/>
      <c r="G105" s="34"/>
      <c r="H105" s="34"/>
      <c r="I105" s="34"/>
      <c r="J105" s="34"/>
      <c r="K105" s="34"/>
    </row>
    <row r="106" spans="1:12" ht="15.75" customHeight="1" x14ac:dyDescent="0.25">
      <c r="A106" s="34"/>
      <c r="B106" s="34"/>
      <c r="C106" s="34"/>
      <c r="D106" s="34"/>
      <c r="E106" s="34"/>
      <c r="F106" s="34"/>
      <c r="G106" s="34"/>
      <c r="H106" s="34"/>
      <c r="I106" s="34"/>
      <c r="J106" s="34"/>
      <c r="K106" s="34"/>
    </row>
    <row r="107" spans="1:12" ht="15.75" customHeight="1" x14ac:dyDescent="0.25">
      <c r="A107" s="34"/>
      <c r="B107" s="34"/>
      <c r="C107" s="34"/>
      <c r="D107" s="34"/>
      <c r="E107" s="34"/>
      <c r="F107" s="34"/>
      <c r="G107" s="34"/>
      <c r="H107" s="34"/>
      <c r="I107" s="34"/>
      <c r="J107" s="34"/>
      <c r="K107" s="34"/>
    </row>
    <row r="108" spans="1:12" ht="15.75" customHeight="1" x14ac:dyDescent="0.25">
      <c r="A108" s="34"/>
      <c r="B108" s="34"/>
      <c r="C108" s="34"/>
      <c r="D108" s="34"/>
      <c r="E108" s="34"/>
      <c r="F108" s="34"/>
      <c r="G108" s="34"/>
      <c r="H108" s="34"/>
      <c r="I108" s="34"/>
      <c r="J108" s="34"/>
      <c r="K108" s="34"/>
    </row>
    <row r="109" spans="1:12" ht="15.75" customHeight="1" x14ac:dyDescent="0.25">
      <c r="A109" s="34"/>
      <c r="B109" s="34"/>
      <c r="C109" s="34"/>
      <c r="D109" s="34"/>
      <c r="E109" s="34"/>
      <c r="F109" s="34"/>
      <c r="G109" s="34"/>
      <c r="H109" s="34"/>
      <c r="I109" s="34"/>
      <c r="J109" s="34"/>
      <c r="K109" s="34"/>
    </row>
    <row r="110" spans="1:12" ht="15.75" customHeight="1" x14ac:dyDescent="0.25">
      <c r="A110" s="34"/>
      <c r="B110" s="34"/>
      <c r="C110" s="34"/>
      <c r="D110" s="34"/>
      <c r="E110" s="34"/>
      <c r="F110" s="34"/>
      <c r="G110" s="34"/>
      <c r="H110" s="34"/>
      <c r="I110" s="34"/>
      <c r="J110" s="34"/>
      <c r="K110" s="34"/>
    </row>
    <row r="111" spans="1:12" ht="15.75" customHeight="1" x14ac:dyDescent="0.25">
      <c r="A111" s="34"/>
      <c r="B111" s="34"/>
      <c r="C111" s="34"/>
      <c r="D111" s="34"/>
      <c r="E111" s="34"/>
      <c r="F111" s="34"/>
      <c r="G111" s="34"/>
      <c r="H111" s="34"/>
      <c r="I111" s="34"/>
      <c r="J111" s="34"/>
      <c r="K111" s="34"/>
    </row>
    <row r="112" spans="1:12" ht="15.75" customHeight="1" x14ac:dyDescent="0.25">
      <c r="A112" s="34"/>
      <c r="B112" s="34"/>
      <c r="C112" s="34"/>
      <c r="D112" s="34"/>
      <c r="E112" s="34"/>
      <c r="F112" s="34"/>
      <c r="G112" s="34"/>
      <c r="H112" s="34"/>
      <c r="I112" s="34"/>
      <c r="J112" s="34"/>
      <c r="K112" s="34"/>
    </row>
    <row r="113" spans="1:11" ht="15.75" customHeight="1" x14ac:dyDescent="0.25">
      <c r="A113" s="34"/>
      <c r="B113" s="34"/>
      <c r="C113" s="34"/>
      <c r="D113" s="34"/>
      <c r="E113" s="34"/>
      <c r="F113" s="34"/>
      <c r="G113" s="34"/>
      <c r="H113" s="34"/>
      <c r="I113" s="34"/>
      <c r="J113" s="34"/>
      <c r="K113" s="34"/>
    </row>
    <row r="114" spans="1:11" ht="15.75" customHeight="1" x14ac:dyDescent="0.25">
      <c r="A114" s="34"/>
      <c r="B114" s="34"/>
      <c r="C114" s="34"/>
      <c r="D114" s="34"/>
      <c r="E114" s="34"/>
      <c r="F114" s="34"/>
      <c r="G114" s="34"/>
      <c r="H114" s="34"/>
      <c r="I114" s="34"/>
      <c r="J114" s="34"/>
      <c r="K114" s="34"/>
    </row>
    <row r="115" spans="1:11" ht="15.75" customHeight="1" x14ac:dyDescent="0.25">
      <c r="A115" s="34"/>
      <c r="B115" s="34"/>
      <c r="C115" s="34"/>
      <c r="D115" s="34"/>
      <c r="E115" s="34"/>
      <c r="F115" s="34"/>
      <c r="G115" s="34"/>
      <c r="H115" s="34"/>
      <c r="I115" s="34"/>
      <c r="J115" s="34"/>
      <c r="K115" s="34"/>
    </row>
    <row r="116" spans="1:11" ht="15.75" customHeight="1" x14ac:dyDescent="0.25">
      <c r="A116" s="34"/>
      <c r="B116" s="34"/>
      <c r="C116" s="34"/>
      <c r="D116" s="34"/>
      <c r="E116" s="34"/>
      <c r="F116" s="34"/>
      <c r="G116" s="34"/>
      <c r="H116" s="34"/>
      <c r="I116" s="34"/>
      <c r="J116" s="34"/>
      <c r="K116" s="34"/>
    </row>
    <row r="117" spans="1:11" ht="15.75" customHeight="1" x14ac:dyDescent="0.25">
      <c r="A117" s="34"/>
      <c r="B117" s="34"/>
      <c r="C117" s="34"/>
      <c r="D117" s="34"/>
      <c r="E117" s="34"/>
      <c r="F117" s="34"/>
      <c r="G117" s="34"/>
      <c r="H117" s="34"/>
      <c r="I117" s="34"/>
      <c r="J117" s="34"/>
      <c r="K117" s="34"/>
    </row>
    <row r="118" spans="1:11" ht="15.75" customHeight="1" x14ac:dyDescent="0.25">
      <c r="A118" s="34"/>
      <c r="B118" s="34"/>
      <c r="C118" s="34"/>
      <c r="D118" s="34"/>
      <c r="E118" s="34"/>
      <c r="F118" s="34"/>
      <c r="G118" s="34"/>
      <c r="H118" s="34"/>
      <c r="I118" s="34"/>
      <c r="J118" s="34"/>
      <c r="K118" s="34"/>
    </row>
    <row r="119" spans="1:11" ht="15.75" customHeight="1" x14ac:dyDescent="0.25">
      <c r="A119" s="34"/>
      <c r="B119" s="34"/>
      <c r="C119" s="34"/>
      <c r="D119" s="34"/>
      <c r="E119" s="34"/>
      <c r="F119" s="34"/>
      <c r="G119" s="34"/>
      <c r="H119" s="34"/>
      <c r="I119" s="34"/>
      <c r="J119" s="34"/>
      <c r="K119" s="34"/>
    </row>
    <row r="120" spans="1:11" ht="15.75" customHeight="1" x14ac:dyDescent="0.25">
      <c r="A120" s="34"/>
      <c r="B120" s="34"/>
      <c r="C120" s="34"/>
      <c r="D120" s="34"/>
      <c r="E120" s="34"/>
      <c r="F120" s="34"/>
      <c r="G120" s="34"/>
      <c r="H120" s="34"/>
      <c r="I120" s="34"/>
      <c r="J120" s="34"/>
      <c r="K120" s="34"/>
    </row>
    <row r="121" spans="1:11" ht="15.75" customHeight="1" x14ac:dyDescent="0.25">
      <c r="A121" s="34"/>
      <c r="B121" s="34"/>
      <c r="C121" s="34"/>
      <c r="D121" s="34"/>
      <c r="E121" s="34"/>
      <c r="F121" s="34"/>
      <c r="G121" s="34"/>
      <c r="H121" s="34"/>
      <c r="I121" s="34"/>
      <c r="J121" s="34"/>
      <c r="K121" s="34"/>
    </row>
    <row r="122" spans="1:11" ht="15.75" customHeight="1" x14ac:dyDescent="0.25">
      <c r="A122" s="34"/>
      <c r="B122" s="34"/>
      <c r="C122" s="34"/>
      <c r="D122" s="34"/>
      <c r="E122" s="34"/>
      <c r="F122" s="34"/>
      <c r="G122" s="34"/>
      <c r="H122" s="34"/>
      <c r="I122" s="34"/>
      <c r="J122" s="34"/>
      <c r="K122" s="34"/>
    </row>
    <row r="123" spans="1:11" ht="15.75" customHeight="1" x14ac:dyDescent="0.25">
      <c r="A123" s="34"/>
      <c r="B123" s="34"/>
      <c r="C123" s="34"/>
      <c r="D123" s="34"/>
      <c r="E123" s="34"/>
      <c r="F123" s="34"/>
      <c r="G123" s="34"/>
      <c r="H123" s="34"/>
      <c r="I123" s="34"/>
      <c r="J123" s="34"/>
      <c r="K123" s="34"/>
    </row>
    <row r="124" spans="1:11" ht="15.75" customHeight="1" x14ac:dyDescent="0.25">
      <c r="A124" s="34"/>
      <c r="B124" s="34"/>
      <c r="C124" s="34"/>
      <c r="D124" s="34"/>
      <c r="E124" s="34"/>
      <c r="F124" s="34"/>
      <c r="G124" s="34"/>
      <c r="H124" s="34"/>
      <c r="I124" s="34"/>
      <c r="J124" s="34"/>
      <c r="K124" s="34"/>
    </row>
    <row r="125" spans="1:11" ht="15.75" customHeight="1" x14ac:dyDescent="0.25">
      <c r="A125" s="34"/>
      <c r="B125" s="34"/>
      <c r="C125" s="34"/>
      <c r="D125" s="34"/>
      <c r="E125" s="34"/>
      <c r="F125" s="34"/>
      <c r="G125" s="34"/>
      <c r="H125" s="34"/>
      <c r="I125" s="34"/>
      <c r="J125" s="34"/>
      <c r="K125" s="34"/>
    </row>
    <row r="126" spans="1:11" ht="15.75" customHeight="1" x14ac:dyDescent="0.25">
      <c r="A126" s="34"/>
      <c r="B126" s="34"/>
      <c r="C126" s="34"/>
      <c r="D126" s="34"/>
      <c r="E126" s="34"/>
      <c r="F126" s="34"/>
      <c r="G126" s="34"/>
      <c r="H126" s="34"/>
      <c r="I126" s="34"/>
      <c r="J126" s="34"/>
      <c r="K126" s="34"/>
    </row>
    <row r="127" spans="1:11" ht="15.75" customHeight="1" x14ac:dyDescent="0.25">
      <c r="A127" s="34"/>
      <c r="B127" s="34"/>
      <c r="C127" s="34"/>
      <c r="D127" s="34"/>
      <c r="E127" s="34"/>
      <c r="F127" s="34"/>
      <c r="G127" s="34"/>
      <c r="H127" s="34"/>
      <c r="I127" s="34"/>
      <c r="J127" s="34"/>
      <c r="K127" s="34"/>
    </row>
    <row r="128" spans="1:11" ht="15.75" customHeight="1" x14ac:dyDescent="0.25">
      <c r="A128" s="34"/>
      <c r="B128" s="34"/>
      <c r="C128" s="34"/>
      <c r="D128" s="34"/>
      <c r="E128" s="34"/>
      <c r="F128" s="34"/>
      <c r="G128" s="34"/>
      <c r="H128" s="34"/>
      <c r="I128" s="34"/>
      <c r="J128" s="34"/>
      <c r="K128" s="34"/>
    </row>
    <row r="129" spans="1:11" ht="15.75" customHeight="1" x14ac:dyDescent="0.25">
      <c r="A129" s="34"/>
      <c r="B129" s="34"/>
      <c r="C129" s="34"/>
      <c r="D129" s="34"/>
      <c r="E129" s="34"/>
      <c r="F129" s="34"/>
      <c r="G129" s="34"/>
      <c r="H129" s="34"/>
      <c r="I129" s="34"/>
      <c r="J129" s="34"/>
      <c r="K129" s="34"/>
    </row>
    <row r="130" spans="1:11" ht="15.75" customHeight="1" x14ac:dyDescent="0.25">
      <c r="A130" s="34"/>
      <c r="B130" s="34"/>
      <c r="C130" s="34"/>
      <c r="D130" s="34"/>
      <c r="E130" s="34"/>
      <c r="F130" s="34"/>
      <c r="G130" s="34"/>
      <c r="H130" s="34"/>
      <c r="I130" s="34"/>
      <c r="J130" s="34"/>
      <c r="K130" s="34"/>
    </row>
    <row r="131" spans="1:11" ht="15.75" customHeight="1" x14ac:dyDescent="0.25">
      <c r="A131" s="34"/>
      <c r="B131" s="34"/>
      <c r="C131" s="34"/>
      <c r="D131" s="34"/>
      <c r="E131" s="34"/>
      <c r="F131" s="34"/>
      <c r="G131" s="34"/>
      <c r="H131" s="34"/>
      <c r="I131" s="34"/>
      <c r="J131" s="34"/>
      <c r="K131" s="34"/>
    </row>
    <row r="132" spans="1:11" ht="15.75" customHeight="1" x14ac:dyDescent="0.25">
      <c r="A132" s="34"/>
      <c r="B132" s="34"/>
      <c r="C132" s="34"/>
      <c r="D132" s="34"/>
      <c r="E132" s="34"/>
      <c r="F132" s="34"/>
      <c r="G132" s="34"/>
      <c r="H132" s="34"/>
      <c r="I132" s="34"/>
      <c r="J132" s="34"/>
      <c r="K132" s="34"/>
    </row>
    <row r="133" spans="1:11" ht="15.75" customHeight="1" x14ac:dyDescent="0.25">
      <c r="A133" s="34"/>
      <c r="B133" s="34"/>
      <c r="C133" s="34"/>
      <c r="D133" s="34"/>
      <c r="E133" s="34"/>
      <c r="F133" s="34"/>
      <c r="G133" s="34"/>
      <c r="H133" s="34"/>
      <c r="I133" s="34"/>
      <c r="J133" s="34"/>
      <c r="K133" s="34"/>
    </row>
    <row r="134" spans="1:11" ht="15.75" customHeight="1" x14ac:dyDescent="0.25">
      <c r="A134" s="34"/>
      <c r="B134" s="34"/>
      <c r="C134" s="34"/>
      <c r="D134" s="34"/>
      <c r="E134" s="34"/>
      <c r="F134" s="34"/>
      <c r="G134" s="34"/>
      <c r="H134" s="34"/>
      <c r="I134" s="34"/>
      <c r="J134" s="34"/>
      <c r="K134" s="34"/>
    </row>
    <row r="135" spans="1:11" ht="15.75" customHeight="1" x14ac:dyDescent="0.25">
      <c r="A135" s="34"/>
      <c r="B135" s="34"/>
      <c r="C135" s="34"/>
      <c r="D135" s="34"/>
      <c r="E135" s="34"/>
      <c r="F135" s="34"/>
      <c r="G135" s="34"/>
      <c r="H135" s="34"/>
      <c r="I135" s="34"/>
      <c r="J135" s="34"/>
      <c r="K135" s="34"/>
    </row>
    <row r="136" spans="1:11" ht="15.75" customHeight="1" x14ac:dyDescent="0.25">
      <c r="A136" s="34"/>
      <c r="B136" s="34"/>
      <c r="C136" s="34"/>
      <c r="D136" s="34"/>
      <c r="E136" s="34"/>
      <c r="F136" s="34"/>
      <c r="G136" s="34"/>
      <c r="H136" s="34"/>
      <c r="I136" s="34"/>
      <c r="J136" s="34"/>
      <c r="K136" s="34"/>
    </row>
    <row r="137" spans="1:11" ht="15.75" customHeight="1" x14ac:dyDescent="0.25">
      <c r="A137" s="34"/>
      <c r="B137" s="34"/>
      <c r="C137" s="34"/>
      <c r="D137" s="34"/>
      <c r="E137" s="34"/>
      <c r="F137" s="34"/>
      <c r="G137" s="34"/>
      <c r="H137" s="34"/>
      <c r="I137" s="34"/>
      <c r="J137" s="34"/>
      <c r="K137" s="34"/>
    </row>
    <row r="138" spans="1:11" ht="15.75" customHeight="1" x14ac:dyDescent="0.25">
      <c r="A138" s="34"/>
      <c r="B138" s="34"/>
      <c r="C138" s="34"/>
      <c r="D138" s="34"/>
      <c r="E138" s="34"/>
      <c r="F138" s="34"/>
      <c r="G138" s="34"/>
      <c r="H138" s="34"/>
      <c r="I138" s="34"/>
      <c r="J138" s="34"/>
      <c r="K138" s="34"/>
    </row>
    <row r="139" spans="1:11" ht="15.75" customHeight="1" x14ac:dyDescent="0.25">
      <c r="A139" s="34"/>
      <c r="B139" s="34"/>
      <c r="C139" s="34"/>
      <c r="D139" s="34"/>
      <c r="E139" s="34"/>
      <c r="F139" s="34"/>
      <c r="G139" s="34"/>
      <c r="H139" s="34"/>
      <c r="I139" s="34"/>
      <c r="J139" s="34"/>
      <c r="K139" s="34"/>
    </row>
    <row r="140" spans="1:11" ht="15.75" customHeight="1" x14ac:dyDescent="0.25">
      <c r="A140" s="34"/>
      <c r="B140" s="34"/>
      <c r="C140" s="34"/>
      <c r="D140" s="34"/>
      <c r="E140" s="34"/>
      <c r="F140" s="34"/>
      <c r="G140" s="34"/>
      <c r="H140" s="34"/>
      <c r="I140" s="34"/>
      <c r="J140" s="34"/>
      <c r="K140" s="34"/>
    </row>
    <row r="141" spans="1:11" ht="15.75" customHeight="1" x14ac:dyDescent="0.25">
      <c r="A141" s="34"/>
      <c r="B141" s="34"/>
      <c r="C141" s="34"/>
      <c r="D141" s="34"/>
      <c r="E141" s="34"/>
      <c r="F141" s="34"/>
      <c r="G141" s="34"/>
      <c r="H141" s="34"/>
      <c r="I141" s="34"/>
      <c r="J141" s="34"/>
      <c r="K141" s="34"/>
    </row>
    <row r="142" spans="1:11" ht="15.75" customHeight="1" x14ac:dyDescent="0.25">
      <c r="A142" s="34"/>
      <c r="B142" s="34"/>
      <c r="C142" s="34"/>
      <c r="D142" s="34"/>
      <c r="E142" s="34"/>
      <c r="F142" s="34"/>
      <c r="G142" s="34"/>
      <c r="H142" s="34"/>
      <c r="I142" s="34"/>
      <c r="J142" s="34"/>
      <c r="K142" s="34"/>
    </row>
    <row r="143" spans="1:11" ht="15.75" customHeight="1" x14ac:dyDescent="0.25">
      <c r="A143" s="34"/>
      <c r="B143" s="34"/>
      <c r="C143" s="34"/>
      <c r="D143" s="34"/>
      <c r="E143" s="34"/>
      <c r="F143" s="34"/>
      <c r="G143" s="34"/>
      <c r="H143" s="34"/>
      <c r="I143" s="34"/>
      <c r="J143" s="34"/>
      <c r="K143" s="34"/>
    </row>
    <row r="144" spans="1:11" ht="15.75" customHeight="1" x14ac:dyDescent="0.25">
      <c r="A144" s="34"/>
      <c r="B144" s="34"/>
      <c r="C144" s="34"/>
      <c r="D144" s="34"/>
      <c r="E144" s="34"/>
      <c r="F144" s="34"/>
      <c r="G144" s="34"/>
      <c r="H144" s="34"/>
      <c r="I144" s="34"/>
      <c r="J144" s="34"/>
      <c r="K144" s="34"/>
    </row>
    <row r="145" spans="1:11" ht="15.75" customHeight="1" x14ac:dyDescent="0.25">
      <c r="A145" s="34"/>
      <c r="B145" s="34"/>
      <c r="C145" s="34"/>
      <c r="D145" s="34"/>
      <c r="E145" s="34"/>
      <c r="F145" s="34"/>
      <c r="G145" s="34"/>
      <c r="H145" s="34"/>
      <c r="I145" s="34"/>
      <c r="J145" s="34"/>
      <c r="K145" s="34"/>
    </row>
    <row r="146" spans="1:11" ht="15.75" customHeight="1" x14ac:dyDescent="0.25">
      <c r="A146" s="34"/>
      <c r="B146" s="34"/>
      <c r="C146" s="34"/>
      <c r="D146" s="34"/>
      <c r="E146" s="34"/>
      <c r="F146" s="34"/>
      <c r="G146" s="34"/>
      <c r="H146" s="34"/>
      <c r="I146" s="34"/>
      <c r="J146" s="34"/>
      <c r="K146" s="34"/>
    </row>
    <row r="147" spans="1:11" ht="15.75" customHeight="1" x14ac:dyDescent="0.25">
      <c r="A147" s="34"/>
      <c r="B147" s="34"/>
      <c r="C147" s="34"/>
      <c r="D147" s="34"/>
      <c r="E147" s="34"/>
      <c r="F147" s="34"/>
      <c r="G147" s="34"/>
      <c r="H147" s="34"/>
      <c r="I147" s="34"/>
      <c r="J147" s="34"/>
      <c r="K147" s="34"/>
    </row>
    <row r="148" spans="1:11" ht="15.75" customHeight="1" x14ac:dyDescent="0.25">
      <c r="A148" s="34"/>
      <c r="B148" s="34"/>
      <c r="C148" s="34"/>
      <c r="D148" s="34"/>
      <c r="E148" s="34"/>
      <c r="F148" s="34"/>
      <c r="G148" s="34"/>
      <c r="H148" s="34"/>
      <c r="I148" s="34"/>
      <c r="J148" s="34"/>
      <c r="K148" s="34"/>
    </row>
    <row r="149" spans="1:11" ht="15.75" customHeight="1" x14ac:dyDescent="0.25">
      <c r="A149" s="34"/>
      <c r="B149" s="34"/>
      <c r="C149" s="34"/>
      <c r="D149" s="34"/>
      <c r="E149" s="34"/>
      <c r="F149" s="34"/>
      <c r="G149" s="34"/>
      <c r="H149" s="34"/>
      <c r="I149" s="34"/>
      <c r="J149" s="34"/>
      <c r="K149" s="34"/>
    </row>
    <row r="150" spans="1:11" ht="15.75" customHeight="1" x14ac:dyDescent="0.25">
      <c r="A150" s="34"/>
      <c r="B150" s="34"/>
      <c r="C150" s="34"/>
      <c r="D150" s="34"/>
      <c r="E150" s="34"/>
      <c r="F150" s="34"/>
      <c r="G150" s="34"/>
      <c r="H150" s="34"/>
      <c r="I150" s="34"/>
      <c r="J150" s="34"/>
      <c r="K150" s="34"/>
    </row>
    <row r="151" spans="1:11" ht="15.75" customHeight="1" x14ac:dyDescent="0.25">
      <c r="A151" s="34"/>
      <c r="B151" s="34"/>
      <c r="C151" s="34"/>
      <c r="D151" s="34"/>
      <c r="E151" s="34"/>
      <c r="F151" s="34"/>
      <c r="G151" s="34"/>
      <c r="H151" s="34"/>
      <c r="I151" s="34"/>
      <c r="J151" s="34"/>
      <c r="K151" s="34"/>
    </row>
    <row r="152" spans="1:11" ht="15.75" customHeight="1" x14ac:dyDescent="0.25">
      <c r="A152" s="34"/>
      <c r="B152" s="34"/>
      <c r="C152" s="34"/>
      <c r="D152" s="34"/>
      <c r="E152" s="34"/>
      <c r="F152" s="34"/>
      <c r="G152" s="34"/>
      <c r="H152" s="34"/>
      <c r="I152" s="34"/>
      <c r="J152" s="34"/>
      <c r="K152" s="34"/>
    </row>
    <row r="153" spans="1:11" ht="15.75" customHeight="1" x14ac:dyDescent="0.25">
      <c r="A153" s="34"/>
      <c r="B153" s="34"/>
      <c r="C153" s="34"/>
      <c r="D153" s="34"/>
      <c r="E153" s="34"/>
      <c r="F153" s="34"/>
      <c r="G153" s="34"/>
      <c r="H153" s="34"/>
      <c r="I153" s="34"/>
      <c r="J153" s="34"/>
      <c r="K153" s="34"/>
    </row>
    <row r="154" spans="1:11" ht="15.75" customHeight="1" x14ac:dyDescent="0.25">
      <c r="A154" s="34"/>
      <c r="B154" s="34"/>
      <c r="C154" s="34"/>
      <c r="D154" s="34"/>
      <c r="E154" s="34"/>
      <c r="F154" s="34"/>
      <c r="G154" s="34"/>
      <c r="H154" s="34"/>
      <c r="I154" s="34"/>
      <c r="J154" s="34"/>
      <c r="K154" s="34"/>
    </row>
    <row r="155" spans="1:11" ht="15.75" customHeight="1" x14ac:dyDescent="0.25">
      <c r="A155" s="34"/>
      <c r="B155" s="34"/>
      <c r="C155" s="34"/>
      <c r="D155" s="34"/>
      <c r="E155" s="34"/>
      <c r="F155" s="34"/>
      <c r="G155" s="34"/>
      <c r="H155" s="34"/>
      <c r="I155" s="34"/>
      <c r="J155" s="34"/>
      <c r="K155" s="34"/>
    </row>
    <row r="156" spans="1:11" ht="15.75" customHeight="1" x14ac:dyDescent="0.25">
      <c r="A156" s="34"/>
      <c r="B156" s="34"/>
      <c r="C156" s="34"/>
      <c r="D156" s="34"/>
      <c r="E156" s="34"/>
      <c r="F156" s="34"/>
      <c r="G156" s="34"/>
      <c r="H156" s="34"/>
      <c r="I156" s="34"/>
      <c r="J156" s="34"/>
      <c r="K156" s="34"/>
    </row>
    <row r="157" spans="1:11" ht="15.75" customHeight="1" x14ac:dyDescent="0.25">
      <c r="A157" s="34"/>
      <c r="B157" s="34"/>
      <c r="C157" s="34"/>
      <c r="D157" s="34"/>
      <c r="E157" s="34"/>
      <c r="F157" s="34"/>
      <c r="G157" s="34"/>
      <c r="H157" s="34"/>
      <c r="I157" s="34"/>
      <c r="J157" s="34"/>
      <c r="K157" s="34"/>
    </row>
    <row r="158" spans="1:11" ht="15.75" customHeight="1" x14ac:dyDescent="0.25">
      <c r="A158" s="34"/>
      <c r="B158" s="34"/>
      <c r="C158" s="34"/>
      <c r="D158" s="34"/>
      <c r="E158" s="34"/>
      <c r="F158" s="34"/>
      <c r="G158" s="34"/>
      <c r="H158" s="34"/>
      <c r="I158" s="34"/>
      <c r="J158" s="34"/>
      <c r="K158" s="34"/>
    </row>
    <row r="159" spans="1:11" ht="15.75" customHeight="1" x14ac:dyDescent="0.25">
      <c r="A159" s="34"/>
      <c r="B159" s="34"/>
      <c r="C159" s="34"/>
      <c r="D159" s="34"/>
      <c r="E159" s="34"/>
      <c r="F159" s="34"/>
      <c r="G159" s="34"/>
      <c r="H159" s="34"/>
      <c r="I159" s="34"/>
      <c r="J159" s="34"/>
      <c r="K159" s="34"/>
    </row>
    <row r="160" spans="1:11" ht="15.75" customHeight="1" x14ac:dyDescent="0.25">
      <c r="A160" s="34"/>
      <c r="B160" s="34"/>
      <c r="C160" s="34"/>
      <c r="D160" s="34"/>
      <c r="E160" s="34"/>
      <c r="F160" s="34"/>
      <c r="G160" s="34"/>
      <c r="H160" s="34"/>
      <c r="I160" s="34"/>
      <c r="J160" s="34"/>
      <c r="K160" s="34"/>
    </row>
    <row r="161" spans="1:11" ht="15.75" customHeight="1" x14ac:dyDescent="0.25">
      <c r="A161" s="34"/>
      <c r="B161" s="34"/>
      <c r="C161" s="34"/>
      <c r="D161" s="34"/>
      <c r="E161" s="34"/>
      <c r="F161" s="34"/>
      <c r="G161" s="34"/>
      <c r="H161" s="34"/>
      <c r="I161" s="34"/>
      <c r="J161" s="34"/>
      <c r="K161" s="34"/>
    </row>
    <row r="162" spans="1:11" ht="15.75" customHeight="1" x14ac:dyDescent="0.25">
      <c r="A162" s="34"/>
      <c r="B162" s="34"/>
      <c r="C162" s="34"/>
      <c r="D162" s="34"/>
      <c r="E162" s="34"/>
      <c r="F162" s="34"/>
      <c r="G162" s="34"/>
      <c r="H162" s="34"/>
      <c r="I162" s="34"/>
      <c r="J162" s="34"/>
      <c r="K162" s="34"/>
    </row>
    <row r="163" spans="1:11" ht="15.75" customHeight="1" x14ac:dyDescent="0.25">
      <c r="A163" s="34"/>
      <c r="B163" s="34"/>
      <c r="C163" s="34"/>
      <c r="D163" s="34"/>
      <c r="E163" s="34"/>
      <c r="F163" s="34"/>
      <c r="G163" s="34"/>
      <c r="H163" s="34"/>
      <c r="I163" s="34"/>
      <c r="J163" s="34"/>
      <c r="K163" s="34"/>
    </row>
    <row r="164" spans="1:11" ht="15.75" customHeight="1" x14ac:dyDescent="0.25">
      <c r="A164" s="34"/>
      <c r="B164" s="34"/>
      <c r="C164" s="34"/>
      <c r="D164" s="34"/>
      <c r="E164" s="34"/>
      <c r="F164" s="34"/>
      <c r="G164" s="34"/>
      <c r="H164" s="34"/>
      <c r="I164" s="34"/>
      <c r="J164" s="34"/>
      <c r="K164" s="34"/>
    </row>
    <row r="165" spans="1:11" ht="15.75" customHeight="1" x14ac:dyDescent="0.25">
      <c r="A165" s="34"/>
      <c r="B165" s="34"/>
      <c r="C165" s="34"/>
      <c r="D165" s="34"/>
      <c r="E165" s="34"/>
      <c r="F165" s="34"/>
      <c r="G165" s="34"/>
      <c r="H165" s="34"/>
      <c r="I165" s="34"/>
      <c r="J165" s="34"/>
      <c r="K165" s="34"/>
    </row>
    <row r="166" spans="1:11" ht="15.75" customHeight="1" x14ac:dyDescent="0.25">
      <c r="A166" s="34"/>
      <c r="B166" s="34"/>
      <c r="C166" s="34"/>
      <c r="D166" s="34"/>
      <c r="E166" s="34"/>
      <c r="F166" s="34"/>
      <c r="G166" s="34"/>
      <c r="H166" s="34"/>
      <c r="I166" s="34"/>
      <c r="J166" s="34"/>
      <c r="K166" s="34"/>
    </row>
    <row r="167" spans="1:11" ht="15.75" customHeight="1" x14ac:dyDescent="0.25">
      <c r="A167" s="34"/>
      <c r="B167" s="34"/>
      <c r="C167" s="34"/>
      <c r="D167" s="34"/>
      <c r="E167" s="34"/>
      <c r="F167" s="34"/>
      <c r="G167" s="34"/>
      <c r="H167" s="34"/>
      <c r="I167" s="34"/>
      <c r="J167" s="34"/>
      <c r="K167" s="34"/>
    </row>
    <row r="168" spans="1:11" ht="15.75" customHeight="1" x14ac:dyDescent="0.25">
      <c r="A168" s="34"/>
      <c r="B168" s="34"/>
      <c r="C168" s="34"/>
      <c r="D168" s="34"/>
      <c r="E168" s="34"/>
      <c r="F168" s="34"/>
      <c r="G168" s="34"/>
      <c r="H168" s="34"/>
      <c r="I168" s="34"/>
      <c r="J168" s="34"/>
      <c r="K168" s="34"/>
    </row>
    <row r="169" spans="1:11" ht="15.75" customHeight="1" x14ac:dyDescent="0.25">
      <c r="A169" s="34"/>
      <c r="B169" s="34"/>
      <c r="C169" s="34"/>
      <c r="D169" s="34"/>
      <c r="E169" s="34"/>
      <c r="F169" s="34"/>
      <c r="G169" s="34"/>
      <c r="H169" s="34"/>
      <c r="I169" s="34"/>
      <c r="J169" s="34"/>
      <c r="K169" s="34"/>
    </row>
    <row r="170" spans="1:11" ht="15.75" customHeight="1" x14ac:dyDescent="0.25">
      <c r="A170" s="34"/>
      <c r="B170" s="34"/>
      <c r="C170" s="34"/>
      <c r="D170" s="34"/>
      <c r="E170" s="34"/>
      <c r="F170" s="34"/>
      <c r="G170" s="34"/>
      <c r="H170" s="34"/>
      <c r="I170" s="34"/>
      <c r="J170" s="34"/>
      <c r="K170" s="34"/>
    </row>
    <row r="171" spans="1:11" ht="15.75" customHeight="1" x14ac:dyDescent="0.25">
      <c r="A171" s="34"/>
      <c r="B171" s="34"/>
      <c r="C171" s="34"/>
      <c r="D171" s="34"/>
      <c r="E171" s="34"/>
      <c r="F171" s="34"/>
      <c r="G171" s="34"/>
      <c r="H171" s="34"/>
      <c r="I171" s="34"/>
      <c r="J171" s="34"/>
      <c r="K171" s="34"/>
    </row>
    <row r="172" spans="1:11" ht="15.75" customHeight="1" x14ac:dyDescent="0.25">
      <c r="A172" s="34"/>
      <c r="B172" s="34"/>
      <c r="C172" s="34"/>
      <c r="D172" s="34"/>
      <c r="E172" s="34"/>
      <c r="F172" s="34"/>
      <c r="G172" s="34"/>
      <c r="H172" s="34"/>
      <c r="I172" s="34"/>
      <c r="J172" s="34"/>
      <c r="K172" s="34"/>
    </row>
    <row r="173" spans="1:11" ht="15.75" customHeight="1" x14ac:dyDescent="0.25">
      <c r="A173" s="34"/>
      <c r="B173" s="34"/>
      <c r="C173" s="34"/>
      <c r="D173" s="34"/>
      <c r="E173" s="34"/>
      <c r="F173" s="34"/>
      <c r="G173" s="34"/>
      <c r="H173" s="34"/>
      <c r="I173" s="34"/>
      <c r="J173" s="34"/>
      <c r="K173" s="34"/>
    </row>
    <row r="174" spans="1:11" ht="15.75" customHeight="1" x14ac:dyDescent="0.25">
      <c r="A174" s="34"/>
      <c r="B174" s="34"/>
      <c r="C174" s="34"/>
      <c r="D174" s="34"/>
      <c r="E174" s="34"/>
      <c r="F174" s="34"/>
      <c r="G174" s="34"/>
      <c r="H174" s="34"/>
      <c r="I174" s="34"/>
      <c r="J174" s="34"/>
      <c r="K174" s="34"/>
    </row>
    <row r="175" spans="1:11" ht="15.75" customHeight="1" x14ac:dyDescent="0.25">
      <c r="A175" s="34"/>
      <c r="B175" s="34"/>
      <c r="C175" s="34"/>
      <c r="D175" s="34"/>
      <c r="E175" s="34"/>
      <c r="F175" s="34"/>
      <c r="G175" s="34"/>
      <c r="H175" s="34"/>
      <c r="I175" s="34"/>
      <c r="J175" s="34"/>
      <c r="K175" s="34"/>
    </row>
    <row r="176" spans="1:11" ht="15.75" customHeight="1" x14ac:dyDescent="0.25">
      <c r="A176" s="34"/>
      <c r="B176" s="34"/>
      <c r="C176" s="34"/>
      <c r="D176" s="34"/>
      <c r="E176" s="34"/>
      <c r="F176" s="34"/>
      <c r="G176" s="34"/>
      <c r="H176" s="34"/>
      <c r="I176" s="34"/>
      <c r="J176" s="34"/>
      <c r="K176" s="34"/>
    </row>
    <row r="177" spans="1:11" ht="15.75" customHeight="1" x14ac:dyDescent="0.25">
      <c r="A177" s="34"/>
      <c r="B177" s="34"/>
      <c r="C177" s="34"/>
      <c r="D177" s="34"/>
      <c r="E177" s="34"/>
      <c r="F177" s="34"/>
      <c r="G177" s="34"/>
      <c r="H177" s="34"/>
      <c r="I177" s="34"/>
      <c r="J177" s="34"/>
      <c r="K177" s="34"/>
    </row>
    <row r="178" spans="1:11" ht="15.75" customHeight="1" x14ac:dyDescent="0.25">
      <c r="A178" s="34"/>
      <c r="B178" s="34"/>
      <c r="C178" s="34"/>
      <c r="D178" s="34"/>
      <c r="E178" s="34"/>
      <c r="F178" s="34"/>
      <c r="G178" s="34"/>
      <c r="H178" s="34"/>
      <c r="I178" s="34"/>
      <c r="J178" s="34"/>
      <c r="K178" s="34"/>
    </row>
    <row r="179" spans="1:11" ht="15.75" customHeight="1" x14ac:dyDescent="0.25">
      <c r="A179" s="34"/>
      <c r="B179" s="34"/>
      <c r="C179" s="34"/>
      <c r="D179" s="34"/>
      <c r="E179" s="34"/>
      <c r="F179" s="34"/>
      <c r="G179" s="34"/>
      <c r="H179" s="34"/>
      <c r="I179" s="34"/>
      <c r="J179" s="34"/>
      <c r="K179" s="34"/>
    </row>
    <row r="180" spans="1:11" ht="15.75" customHeight="1" x14ac:dyDescent="0.25">
      <c r="A180" s="34"/>
      <c r="B180" s="34"/>
      <c r="C180" s="34"/>
      <c r="D180" s="34"/>
      <c r="E180" s="34"/>
      <c r="F180" s="34"/>
      <c r="G180" s="34"/>
      <c r="H180" s="34"/>
      <c r="I180" s="34"/>
      <c r="J180" s="34"/>
      <c r="K180" s="34"/>
    </row>
    <row r="181" spans="1:11" ht="15.75" customHeight="1" x14ac:dyDescent="0.25">
      <c r="A181" s="34"/>
      <c r="B181" s="34"/>
      <c r="C181" s="34"/>
      <c r="D181" s="34"/>
      <c r="E181" s="34"/>
      <c r="F181" s="34"/>
      <c r="G181" s="34"/>
      <c r="H181" s="34"/>
      <c r="I181" s="34"/>
      <c r="J181" s="34"/>
      <c r="K181" s="34"/>
    </row>
    <row r="182" spans="1:11" ht="15.75" customHeight="1" x14ac:dyDescent="0.25">
      <c r="A182" s="34"/>
      <c r="B182" s="34"/>
      <c r="C182" s="34"/>
      <c r="D182" s="34"/>
      <c r="E182" s="34"/>
      <c r="F182" s="34"/>
      <c r="G182" s="34"/>
      <c r="H182" s="34"/>
      <c r="I182" s="34"/>
      <c r="J182" s="34"/>
      <c r="K182" s="34"/>
    </row>
    <row r="183" spans="1:11" ht="15.75" customHeight="1" x14ac:dyDescent="0.25">
      <c r="A183" s="34"/>
      <c r="B183" s="34"/>
      <c r="C183" s="34"/>
      <c r="D183" s="34"/>
      <c r="E183" s="34"/>
      <c r="F183" s="34"/>
      <c r="G183" s="34"/>
      <c r="H183" s="34"/>
      <c r="I183" s="34"/>
      <c r="J183" s="34"/>
      <c r="K183" s="34"/>
    </row>
    <row r="184" spans="1:11" ht="15.75" customHeight="1" x14ac:dyDescent="0.25">
      <c r="A184" s="34"/>
      <c r="B184" s="34"/>
      <c r="C184" s="34"/>
      <c r="D184" s="34"/>
      <c r="E184" s="34"/>
      <c r="F184" s="34"/>
      <c r="G184" s="34"/>
      <c r="H184" s="34"/>
      <c r="I184" s="34"/>
      <c r="J184" s="34"/>
      <c r="K184" s="34"/>
    </row>
    <row r="185" spans="1:11" ht="15.75" customHeight="1" x14ac:dyDescent="0.25">
      <c r="A185" s="34"/>
      <c r="B185" s="34"/>
      <c r="C185" s="34"/>
      <c r="D185" s="34"/>
      <c r="E185" s="34"/>
      <c r="F185" s="34"/>
      <c r="G185" s="34"/>
      <c r="H185" s="34"/>
      <c r="I185" s="34"/>
      <c r="J185" s="34"/>
      <c r="K185" s="34"/>
    </row>
    <row r="186" spans="1:11" ht="15.75" customHeight="1" x14ac:dyDescent="0.25">
      <c r="A186" s="34"/>
      <c r="B186" s="34"/>
      <c r="C186" s="34"/>
      <c r="D186" s="34"/>
      <c r="E186" s="34"/>
      <c r="F186" s="34"/>
      <c r="G186" s="34"/>
      <c r="H186" s="34"/>
      <c r="I186" s="34"/>
      <c r="J186" s="34"/>
      <c r="K186" s="34"/>
    </row>
    <row r="187" spans="1:11" ht="15.75" customHeight="1" x14ac:dyDescent="0.25">
      <c r="A187" s="34"/>
      <c r="B187" s="34"/>
      <c r="C187" s="34"/>
      <c r="D187" s="34"/>
      <c r="E187" s="34"/>
      <c r="F187" s="34"/>
      <c r="G187" s="34"/>
      <c r="H187" s="34"/>
      <c r="I187" s="34"/>
      <c r="J187" s="34"/>
      <c r="K187" s="34"/>
    </row>
    <row r="188" spans="1:11" ht="15.75" customHeight="1" x14ac:dyDescent="0.25">
      <c r="A188" s="34"/>
      <c r="B188" s="34"/>
      <c r="C188" s="34"/>
      <c r="D188" s="34"/>
      <c r="E188" s="34"/>
      <c r="F188" s="34"/>
      <c r="G188" s="34"/>
      <c r="H188" s="34"/>
      <c r="I188" s="34"/>
      <c r="J188" s="34"/>
      <c r="K188" s="34"/>
    </row>
    <row r="189" spans="1:11" ht="15.75" customHeight="1" x14ac:dyDescent="0.25">
      <c r="A189" s="34"/>
      <c r="B189" s="34"/>
      <c r="C189" s="34"/>
      <c r="D189" s="34"/>
      <c r="E189" s="34"/>
      <c r="F189" s="34"/>
      <c r="G189" s="34"/>
      <c r="H189" s="34"/>
      <c r="I189" s="34"/>
      <c r="J189" s="34"/>
      <c r="K189" s="34"/>
    </row>
    <row r="190" spans="1:11" ht="15.75" customHeight="1" x14ac:dyDescent="0.25">
      <c r="A190" s="34"/>
      <c r="B190" s="34"/>
      <c r="C190" s="34"/>
      <c r="D190" s="34"/>
      <c r="E190" s="34"/>
      <c r="F190" s="34"/>
      <c r="G190" s="34"/>
      <c r="H190" s="34"/>
      <c r="I190" s="34"/>
      <c r="J190" s="34"/>
      <c r="K190" s="34"/>
    </row>
    <row r="191" spans="1:11" ht="15.75" customHeight="1" x14ac:dyDescent="0.25">
      <c r="A191" s="34"/>
      <c r="B191" s="34"/>
      <c r="C191" s="34"/>
      <c r="D191" s="34"/>
      <c r="E191" s="34"/>
      <c r="F191" s="34"/>
      <c r="G191" s="34"/>
      <c r="H191" s="34"/>
      <c r="I191" s="34"/>
      <c r="J191" s="34"/>
      <c r="K191" s="34"/>
    </row>
    <row r="192" spans="1:11" ht="15.75" customHeight="1" x14ac:dyDescent="0.25">
      <c r="A192" s="34"/>
      <c r="B192" s="34"/>
      <c r="C192" s="34"/>
      <c r="D192" s="34"/>
      <c r="E192" s="34"/>
      <c r="F192" s="34"/>
      <c r="G192" s="34"/>
      <c r="H192" s="34"/>
      <c r="I192" s="34"/>
      <c r="J192" s="34"/>
      <c r="K192" s="34"/>
    </row>
    <row r="193" spans="1:11" ht="15.75" customHeight="1" x14ac:dyDescent="0.25">
      <c r="A193" s="34"/>
      <c r="B193" s="34"/>
      <c r="C193" s="34"/>
      <c r="D193" s="34"/>
      <c r="E193" s="34"/>
      <c r="F193" s="34"/>
      <c r="G193" s="34"/>
      <c r="H193" s="34"/>
      <c r="I193" s="34"/>
      <c r="J193" s="34"/>
      <c r="K193" s="34"/>
    </row>
    <row r="194" spans="1:11" ht="15.75" customHeight="1" x14ac:dyDescent="0.25">
      <c r="A194" s="34"/>
      <c r="B194" s="34"/>
      <c r="C194" s="34"/>
      <c r="D194" s="34"/>
      <c r="E194" s="34"/>
      <c r="F194" s="34"/>
      <c r="G194" s="34"/>
      <c r="H194" s="34"/>
      <c r="I194" s="34"/>
      <c r="J194" s="34"/>
      <c r="K194" s="34"/>
    </row>
    <row r="195" spans="1:11" ht="15.75" customHeight="1" x14ac:dyDescent="0.25">
      <c r="A195" s="34"/>
      <c r="B195" s="34"/>
      <c r="C195" s="34"/>
      <c r="D195" s="34"/>
      <c r="E195" s="34"/>
      <c r="F195" s="34"/>
      <c r="G195" s="34"/>
      <c r="H195" s="34"/>
      <c r="I195" s="34"/>
      <c r="J195" s="34"/>
      <c r="K195" s="34"/>
    </row>
    <row r="196" spans="1:11" ht="15.75" customHeight="1" x14ac:dyDescent="0.25">
      <c r="A196" s="34"/>
      <c r="B196" s="34"/>
      <c r="C196" s="34"/>
      <c r="D196" s="34"/>
      <c r="E196" s="34"/>
      <c r="F196" s="34"/>
      <c r="G196" s="34"/>
      <c r="H196" s="34"/>
      <c r="I196" s="34"/>
      <c r="J196" s="34"/>
      <c r="K196" s="34"/>
    </row>
    <row r="197" spans="1:11" ht="15.75" customHeight="1" x14ac:dyDescent="0.25">
      <c r="A197" s="34"/>
      <c r="B197" s="34"/>
      <c r="C197" s="34"/>
      <c r="D197" s="34"/>
      <c r="E197" s="34"/>
      <c r="F197" s="34"/>
      <c r="G197" s="34"/>
      <c r="H197" s="34"/>
      <c r="I197" s="34"/>
      <c r="J197" s="34"/>
      <c r="K197" s="34"/>
    </row>
    <row r="198" spans="1:11" ht="15.75" customHeight="1" x14ac:dyDescent="0.25">
      <c r="A198" s="34"/>
      <c r="B198" s="34"/>
      <c r="C198" s="34"/>
      <c r="D198" s="34"/>
      <c r="E198" s="34"/>
      <c r="F198" s="34"/>
      <c r="G198" s="34"/>
      <c r="H198" s="34"/>
      <c r="I198" s="34"/>
      <c r="J198" s="34"/>
      <c r="K198" s="34"/>
    </row>
    <row r="199" spans="1:11" ht="15.75" customHeight="1" x14ac:dyDescent="0.25">
      <c r="A199" s="34"/>
      <c r="B199" s="34"/>
      <c r="C199" s="34"/>
      <c r="D199" s="34"/>
      <c r="E199" s="34"/>
      <c r="F199" s="34"/>
      <c r="G199" s="34"/>
      <c r="H199" s="34"/>
      <c r="I199" s="34"/>
      <c r="J199" s="34"/>
      <c r="K199" s="34"/>
    </row>
    <row r="200" spans="1:11" ht="15.75" customHeight="1" x14ac:dyDescent="0.25">
      <c r="A200" s="34"/>
      <c r="B200" s="34"/>
      <c r="C200" s="34"/>
      <c r="D200" s="34"/>
      <c r="E200" s="34"/>
      <c r="F200" s="34"/>
      <c r="G200" s="34"/>
      <c r="H200" s="34"/>
      <c r="I200" s="34"/>
      <c r="J200" s="34"/>
      <c r="K200" s="34"/>
    </row>
    <row r="201" spans="1:11" ht="15.75" customHeight="1" x14ac:dyDescent="0.25">
      <c r="A201" s="34"/>
      <c r="B201" s="34"/>
      <c r="C201" s="34"/>
      <c r="D201" s="34"/>
      <c r="E201" s="34"/>
      <c r="F201" s="34"/>
      <c r="G201" s="34"/>
      <c r="H201" s="34"/>
      <c r="I201" s="34"/>
      <c r="J201" s="34"/>
      <c r="K201" s="34"/>
    </row>
    <row r="202" spans="1:11" ht="15.75" customHeight="1" x14ac:dyDescent="0.25">
      <c r="A202" s="34"/>
      <c r="B202" s="34"/>
      <c r="C202" s="34"/>
      <c r="D202" s="34"/>
      <c r="E202" s="34"/>
      <c r="F202" s="34"/>
      <c r="G202" s="34"/>
      <c r="H202" s="34"/>
      <c r="I202" s="34"/>
      <c r="J202" s="34"/>
      <c r="K202" s="34"/>
    </row>
    <row r="203" spans="1:11" ht="15.75" customHeight="1" x14ac:dyDescent="0.25">
      <c r="A203" s="34"/>
      <c r="B203" s="34"/>
      <c r="C203" s="34"/>
      <c r="D203" s="34"/>
      <c r="E203" s="34"/>
      <c r="F203" s="34"/>
      <c r="G203" s="34"/>
      <c r="H203" s="34"/>
      <c r="I203" s="34"/>
      <c r="J203" s="34"/>
      <c r="K203" s="34"/>
    </row>
    <row r="204" spans="1:11" ht="15.75" customHeight="1" x14ac:dyDescent="0.25">
      <c r="A204" s="34"/>
      <c r="B204" s="34"/>
      <c r="C204" s="34"/>
      <c r="D204" s="34"/>
      <c r="E204" s="34"/>
      <c r="F204" s="34"/>
      <c r="G204" s="34"/>
      <c r="H204" s="34"/>
      <c r="I204" s="34"/>
      <c r="J204" s="34"/>
      <c r="K204" s="34"/>
    </row>
    <row r="205" spans="1:11" ht="15.75" customHeight="1" x14ac:dyDescent="0.25">
      <c r="A205" s="34"/>
      <c r="B205" s="34"/>
      <c r="C205" s="34"/>
      <c r="D205" s="34"/>
      <c r="E205" s="34"/>
      <c r="F205" s="34"/>
      <c r="G205" s="34"/>
      <c r="H205" s="34"/>
      <c r="I205" s="34"/>
      <c r="J205" s="34"/>
      <c r="K205" s="34"/>
    </row>
    <row r="206" spans="1:11" ht="15.75" customHeight="1" x14ac:dyDescent="0.25">
      <c r="A206" s="34"/>
      <c r="B206" s="34"/>
      <c r="C206" s="34"/>
      <c r="D206" s="34"/>
      <c r="E206" s="34"/>
      <c r="F206" s="34"/>
      <c r="G206" s="34"/>
      <c r="H206" s="34"/>
      <c r="I206" s="34"/>
      <c r="J206" s="34"/>
      <c r="K206" s="34"/>
    </row>
    <row r="207" spans="1:11" ht="15.75" customHeight="1" x14ac:dyDescent="0.25">
      <c r="A207" s="34"/>
      <c r="B207" s="34"/>
      <c r="C207" s="34"/>
      <c r="D207" s="34"/>
      <c r="E207" s="34"/>
      <c r="F207" s="34"/>
      <c r="G207" s="34"/>
      <c r="H207" s="34"/>
      <c r="I207" s="34"/>
      <c r="J207" s="34"/>
      <c r="K207" s="34"/>
    </row>
    <row r="208" spans="1:11" ht="15.75" customHeight="1" x14ac:dyDescent="0.25">
      <c r="A208" s="34"/>
      <c r="B208" s="34"/>
      <c r="C208" s="34"/>
      <c r="D208" s="34"/>
      <c r="E208" s="34"/>
      <c r="F208" s="34"/>
      <c r="G208" s="34"/>
      <c r="H208" s="34"/>
      <c r="I208" s="34"/>
      <c r="J208" s="34"/>
      <c r="K208" s="34"/>
    </row>
    <row r="209" spans="1:11" ht="15.75" customHeight="1" x14ac:dyDescent="0.25">
      <c r="A209" s="34"/>
      <c r="B209" s="34"/>
      <c r="C209" s="34"/>
      <c r="D209" s="34"/>
      <c r="E209" s="34"/>
      <c r="F209" s="34"/>
      <c r="G209" s="34"/>
      <c r="H209" s="34"/>
      <c r="I209" s="34"/>
      <c r="J209" s="34"/>
      <c r="K209" s="34"/>
    </row>
    <row r="210" spans="1:11" ht="15.75" customHeight="1" x14ac:dyDescent="0.25">
      <c r="A210" s="34"/>
      <c r="B210" s="34"/>
      <c r="C210" s="34"/>
      <c r="D210" s="34"/>
      <c r="E210" s="34"/>
      <c r="F210" s="34"/>
      <c r="G210" s="34"/>
      <c r="H210" s="34"/>
      <c r="I210" s="34"/>
      <c r="J210" s="34"/>
      <c r="K210" s="34"/>
    </row>
    <row r="211" spans="1:11" ht="15.75" customHeight="1" x14ac:dyDescent="0.25">
      <c r="A211" s="34"/>
      <c r="B211" s="34"/>
      <c r="C211" s="34"/>
      <c r="D211" s="34"/>
      <c r="E211" s="34"/>
      <c r="F211" s="34"/>
      <c r="G211" s="34"/>
      <c r="H211" s="34"/>
      <c r="I211" s="34"/>
      <c r="J211" s="34"/>
      <c r="K211" s="34"/>
    </row>
    <row r="212" spans="1:11" ht="15.75" customHeight="1" x14ac:dyDescent="0.25">
      <c r="A212" s="34"/>
      <c r="B212" s="34"/>
      <c r="C212" s="34"/>
      <c r="D212" s="34"/>
      <c r="E212" s="34"/>
      <c r="F212" s="34"/>
      <c r="G212" s="34"/>
      <c r="H212" s="34"/>
      <c r="I212" s="34"/>
      <c r="J212" s="34"/>
      <c r="K212" s="34"/>
    </row>
    <row r="213" spans="1:11" ht="15.75" customHeight="1" x14ac:dyDescent="0.25">
      <c r="A213" s="34"/>
      <c r="B213" s="34"/>
      <c r="C213" s="34"/>
      <c r="D213" s="34"/>
      <c r="E213" s="34"/>
      <c r="F213" s="34"/>
      <c r="G213" s="34"/>
      <c r="H213" s="34"/>
      <c r="I213" s="34"/>
      <c r="J213" s="34"/>
      <c r="K213" s="34"/>
    </row>
    <row r="214" spans="1:11" ht="15.75" customHeight="1" x14ac:dyDescent="0.25">
      <c r="A214" s="34"/>
      <c r="B214" s="34"/>
      <c r="C214" s="34"/>
      <c r="D214" s="34"/>
      <c r="E214" s="34"/>
      <c r="F214" s="34"/>
      <c r="G214" s="34"/>
      <c r="H214" s="34"/>
      <c r="I214" s="34"/>
      <c r="J214" s="34"/>
      <c r="K214" s="34"/>
    </row>
    <row r="215" spans="1:11" ht="15.75" customHeight="1" x14ac:dyDescent="0.25">
      <c r="A215" s="34"/>
      <c r="B215" s="34"/>
      <c r="C215" s="34"/>
      <c r="D215" s="34"/>
      <c r="E215" s="34"/>
      <c r="F215" s="34"/>
      <c r="G215" s="34"/>
      <c r="H215" s="34"/>
      <c r="I215" s="34"/>
      <c r="J215" s="34"/>
      <c r="K215" s="34"/>
    </row>
    <row r="216" spans="1:11" ht="15.75" customHeight="1" x14ac:dyDescent="0.25">
      <c r="A216" s="34"/>
      <c r="B216" s="34"/>
      <c r="C216" s="34"/>
      <c r="D216" s="34"/>
      <c r="E216" s="34"/>
      <c r="F216" s="34"/>
      <c r="G216" s="34"/>
      <c r="H216" s="34"/>
      <c r="I216" s="34"/>
      <c r="J216" s="34"/>
      <c r="K216" s="34"/>
    </row>
    <row r="217" spans="1:11" ht="15.75" customHeight="1" x14ac:dyDescent="0.25">
      <c r="A217" s="34"/>
      <c r="B217" s="34"/>
      <c r="C217" s="34"/>
      <c r="D217" s="34"/>
      <c r="E217" s="34"/>
      <c r="F217" s="34"/>
      <c r="G217" s="34"/>
      <c r="H217" s="34"/>
      <c r="I217" s="34"/>
      <c r="J217" s="34"/>
      <c r="K217" s="34"/>
    </row>
    <row r="218" spans="1:11" ht="15.75" customHeight="1" x14ac:dyDescent="0.25">
      <c r="A218" s="34"/>
      <c r="B218" s="34"/>
      <c r="C218" s="34"/>
      <c r="D218" s="34"/>
      <c r="E218" s="34"/>
      <c r="F218" s="34"/>
      <c r="G218" s="34"/>
      <c r="H218" s="34"/>
      <c r="I218" s="34"/>
      <c r="J218" s="34"/>
      <c r="K218" s="34"/>
    </row>
    <row r="219" spans="1:11" ht="15.75" customHeight="1" x14ac:dyDescent="0.25">
      <c r="A219" s="34"/>
      <c r="B219" s="34"/>
      <c r="C219" s="34"/>
      <c r="D219" s="34"/>
      <c r="E219" s="34"/>
      <c r="F219" s="34"/>
      <c r="G219" s="34"/>
      <c r="H219" s="34"/>
      <c r="I219" s="34"/>
      <c r="J219" s="34"/>
      <c r="K219" s="34"/>
    </row>
    <row r="220" spans="1:11" ht="15.75" customHeight="1" x14ac:dyDescent="0.25">
      <c r="A220" s="34"/>
      <c r="B220" s="34"/>
      <c r="C220" s="34"/>
      <c r="D220" s="34"/>
      <c r="E220" s="34"/>
      <c r="F220" s="34"/>
      <c r="G220" s="34"/>
      <c r="H220" s="34"/>
      <c r="I220" s="34"/>
      <c r="J220" s="34"/>
      <c r="K220" s="34"/>
    </row>
    <row r="221" spans="1:11" ht="15.75" customHeight="1" x14ac:dyDescent="0.25">
      <c r="A221" s="34"/>
      <c r="B221" s="34"/>
      <c r="C221" s="34"/>
      <c r="D221" s="34"/>
      <c r="E221" s="34"/>
      <c r="F221" s="34"/>
      <c r="G221" s="34"/>
      <c r="H221" s="34"/>
      <c r="I221" s="34"/>
      <c r="J221" s="34"/>
      <c r="K221" s="34"/>
    </row>
    <row r="222" spans="1:11" ht="15.75" customHeight="1" x14ac:dyDescent="0.25">
      <c r="A222" s="34"/>
      <c r="B222" s="34"/>
      <c r="C222" s="34"/>
      <c r="D222" s="34"/>
      <c r="E222" s="34"/>
      <c r="F222" s="34"/>
      <c r="G222" s="34"/>
      <c r="H222" s="34"/>
      <c r="I222" s="34"/>
      <c r="J222" s="34"/>
      <c r="K222" s="34"/>
    </row>
    <row r="223" spans="1:11" ht="15.75" customHeight="1" x14ac:dyDescent="0.25">
      <c r="A223" s="34"/>
      <c r="B223" s="34"/>
      <c r="C223" s="34"/>
      <c r="D223" s="34"/>
      <c r="E223" s="34"/>
      <c r="F223" s="34"/>
      <c r="G223" s="34"/>
      <c r="H223" s="34"/>
      <c r="I223" s="34"/>
      <c r="J223" s="34"/>
      <c r="K223" s="34"/>
    </row>
    <row r="224" spans="1:11" ht="15.75" customHeight="1" x14ac:dyDescent="0.25">
      <c r="A224" s="34"/>
      <c r="B224" s="34"/>
      <c r="C224" s="34"/>
      <c r="D224" s="34"/>
      <c r="E224" s="34"/>
      <c r="F224" s="34"/>
      <c r="G224" s="34"/>
      <c r="H224" s="34"/>
      <c r="I224" s="34"/>
      <c r="J224" s="34"/>
      <c r="K224" s="34"/>
    </row>
    <row r="225" spans="1:11" ht="15.75" customHeight="1" x14ac:dyDescent="0.25">
      <c r="A225" s="34"/>
      <c r="B225" s="34"/>
      <c r="C225" s="34"/>
      <c r="D225" s="34"/>
      <c r="E225" s="34"/>
      <c r="F225" s="34"/>
      <c r="G225" s="34"/>
      <c r="H225" s="34"/>
      <c r="I225" s="34"/>
      <c r="J225" s="34"/>
      <c r="K225" s="34"/>
    </row>
    <row r="226" spans="1:11" ht="15.75" customHeight="1" x14ac:dyDescent="0.25">
      <c r="A226" s="34"/>
      <c r="B226" s="34"/>
      <c r="C226" s="34"/>
      <c r="D226" s="34"/>
      <c r="E226" s="34"/>
      <c r="F226" s="34"/>
      <c r="G226" s="34"/>
      <c r="H226" s="34"/>
      <c r="I226" s="34"/>
      <c r="J226" s="34"/>
      <c r="K226" s="34"/>
    </row>
    <row r="227" spans="1:11" ht="15.75" customHeight="1" x14ac:dyDescent="0.25">
      <c r="A227" s="34"/>
      <c r="B227" s="34"/>
      <c r="C227" s="34"/>
      <c r="D227" s="34"/>
      <c r="E227" s="34"/>
      <c r="F227" s="34"/>
      <c r="G227" s="34"/>
      <c r="H227" s="34"/>
      <c r="I227" s="34"/>
      <c r="J227" s="34"/>
      <c r="K227" s="34"/>
    </row>
    <row r="228" spans="1:11" ht="15.75" customHeight="1" x14ac:dyDescent="0.25">
      <c r="A228" s="34"/>
      <c r="B228" s="34"/>
      <c r="C228" s="34"/>
      <c r="D228" s="34"/>
      <c r="E228" s="34"/>
      <c r="F228" s="34"/>
      <c r="G228" s="34"/>
      <c r="H228" s="34"/>
      <c r="I228" s="34"/>
      <c r="J228" s="34"/>
      <c r="K228" s="34"/>
    </row>
    <row r="229" spans="1:11" ht="15.75" customHeight="1" x14ac:dyDescent="0.25">
      <c r="A229" s="34"/>
      <c r="B229" s="34"/>
      <c r="C229" s="34"/>
      <c r="D229" s="34"/>
      <c r="E229" s="34"/>
      <c r="F229" s="34"/>
      <c r="G229" s="34"/>
      <c r="H229" s="34"/>
      <c r="I229" s="34"/>
      <c r="J229" s="34"/>
      <c r="K229" s="34"/>
    </row>
    <row r="230" spans="1:11" ht="15.75" customHeight="1" x14ac:dyDescent="0.25">
      <c r="A230" s="34"/>
      <c r="B230" s="34"/>
      <c r="C230" s="34"/>
      <c r="D230" s="34"/>
      <c r="E230" s="34"/>
      <c r="F230" s="34"/>
      <c r="G230" s="34"/>
      <c r="H230" s="34"/>
      <c r="I230" s="34"/>
      <c r="J230" s="34"/>
      <c r="K230" s="34"/>
    </row>
    <row r="231" spans="1:11" ht="15.75" customHeight="1" x14ac:dyDescent="0.25">
      <c r="A231" s="34"/>
      <c r="B231" s="34"/>
      <c r="C231" s="34"/>
      <c r="D231" s="34"/>
      <c r="E231" s="34"/>
      <c r="F231" s="34"/>
      <c r="G231" s="34"/>
      <c r="H231" s="34"/>
      <c r="I231" s="34"/>
      <c r="J231" s="34"/>
      <c r="K231" s="34"/>
    </row>
    <row r="232" spans="1:11" ht="15.75" customHeight="1" x14ac:dyDescent="0.25">
      <c r="A232" s="34"/>
      <c r="B232" s="34"/>
      <c r="C232" s="34"/>
      <c r="D232" s="34"/>
      <c r="E232" s="34"/>
      <c r="F232" s="34"/>
      <c r="G232" s="34"/>
      <c r="H232" s="34"/>
      <c r="I232" s="34"/>
      <c r="J232" s="34"/>
      <c r="K232" s="34"/>
    </row>
    <row r="233" spans="1:11" ht="15.75" customHeight="1" x14ac:dyDescent="0.25">
      <c r="A233" s="34"/>
      <c r="B233" s="34"/>
      <c r="C233" s="34"/>
      <c r="D233" s="34"/>
      <c r="E233" s="34"/>
      <c r="F233" s="34"/>
      <c r="G233" s="34"/>
      <c r="H233" s="34"/>
      <c r="I233" s="34"/>
      <c r="J233" s="34"/>
      <c r="K233" s="34"/>
    </row>
    <row r="234" spans="1:11" ht="15.75" customHeight="1" x14ac:dyDescent="0.25">
      <c r="A234" s="34"/>
      <c r="B234" s="34"/>
      <c r="C234" s="34"/>
      <c r="D234" s="34"/>
      <c r="E234" s="34"/>
      <c r="F234" s="34"/>
      <c r="G234" s="34"/>
      <c r="H234" s="34"/>
      <c r="I234" s="34"/>
      <c r="J234" s="34"/>
      <c r="K234" s="34"/>
    </row>
    <row r="235" spans="1:11" ht="15.75" customHeight="1" x14ac:dyDescent="0.25">
      <c r="A235" s="34"/>
      <c r="B235" s="34"/>
      <c r="C235" s="34"/>
      <c r="D235" s="34"/>
      <c r="E235" s="34"/>
      <c r="F235" s="34"/>
      <c r="G235" s="34"/>
      <c r="H235" s="34"/>
      <c r="I235" s="34"/>
      <c r="J235" s="34"/>
      <c r="K235" s="34"/>
    </row>
    <row r="236" spans="1:11" ht="15.75" customHeight="1" x14ac:dyDescent="0.25">
      <c r="A236" s="34"/>
      <c r="B236" s="34"/>
      <c r="C236" s="34"/>
      <c r="D236" s="34"/>
      <c r="E236" s="34"/>
      <c r="F236" s="34"/>
      <c r="G236" s="34"/>
      <c r="H236" s="34"/>
      <c r="I236" s="34"/>
      <c r="J236" s="34"/>
      <c r="K236" s="34"/>
    </row>
    <row r="237" spans="1:11" ht="15.75" customHeight="1" x14ac:dyDescent="0.25">
      <c r="A237" s="34"/>
      <c r="B237" s="34"/>
      <c r="C237" s="34"/>
      <c r="D237" s="34"/>
      <c r="E237" s="34"/>
      <c r="F237" s="34"/>
      <c r="G237" s="34"/>
      <c r="H237" s="34"/>
      <c r="I237" s="34"/>
      <c r="J237" s="34"/>
      <c r="K237" s="34"/>
    </row>
    <row r="238" spans="1:11" ht="15.75" customHeight="1" x14ac:dyDescent="0.25">
      <c r="A238" s="34"/>
      <c r="B238" s="34"/>
      <c r="C238" s="34"/>
      <c r="D238" s="34"/>
      <c r="E238" s="34"/>
      <c r="F238" s="34"/>
      <c r="G238" s="34"/>
      <c r="H238" s="34"/>
      <c r="I238" s="34"/>
      <c r="J238" s="34"/>
      <c r="K238" s="34"/>
    </row>
    <row r="239" spans="1:11" ht="15.75" customHeight="1" x14ac:dyDescent="0.25">
      <c r="A239" s="34"/>
      <c r="B239" s="34"/>
      <c r="C239" s="34"/>
      <c r="D239" s="34"/>
      <c r="E239" s="34"/>
      <c r="F239" s="34"/>
      <c r="G239" s="34"/>
      <c r="H239" s="34"/>
      <c r="I239" s="34"/>
      <c r="J239" s="34"/>
      <c r="K239" s="34"/>
    </row>
    <row r="240" spans="1:11" ht="15.75" customHeight="1" x14ac:dyDescent="0.25">
      <c r="A240" s="34"/>
      <c r="B240" s="34"/>
      <c r="C240" s="34"/>
      <c r="D240" s="34"/>
      <c r="E240" s="34"/>
      <c r="F240" s="34"/>
      <c r="G240" s="34"/>
      <c r="H240" s="34"/>
      <c r="I240" s="34"/>
      <c r="J240" s="34"/>
      <c r="K240" s="34"/>
    </row>
    <row r="241" spans="1:11" ht="15.75" customHeight="1" x14ac:dyDescent="0.25">
      <c r="A241" s="34"/>
      <c r="B241" s="34"/>
      <c r="C241" s="34"/>
      <c r="D241" s="34"/>
      <c r="E241" s="34"/>
      <c r="F241" s="34"/>
      <c r="G241" s="34"/>
      <c r="H241" s="34"/>
      <c r="I241" s="34"/>
      <c r="J241" s="34"/>
      <c r="K241" s="34"/>
    </row>
    <row r="242" spans="1:11" ht="15.75" customHeight="1" x14ac:dyDescent="0.25">
      <c r="A242" s="34"/>
      <c r="B242" s="34"/>
      <c r="C242" s="34"/>
      <c r="D242" s="34"/>
      <c r="E242" s="34"/>
      <c r="F242" s="34"/>
      <c r="G242" s="34"/>
      <c r="H242" s="34"/>
      <c r="I242" s="34"/>
      <c r="J242" s="34"/>
      <c r="K242" s="34"/>
    </row>
    <row r="243" spans="1:11" ht="15.75" customHeight="1" x14ac:dyDescent="0.25">
      <c r="A243" s="34"/>
      <c r="B243" s="34"/>
      <c r="C243" s="34"/>
      <c r="D243" s="34"/>
      <c r="E243" s="34"/>
      <c r="F243" s="34"/>
      <c r="G243" s="34"/>
      <c r="H243" s="34"/>
      <c r="I243" s="34"/>
      <c r="J243" s="34"/>
      <c r="K243" s="34"/>
    </row>
    <row r="244" spans="1:11" ht="15.75" customHeight="1" x14ac:dyDescent="0.25">
      <c r="A244" s="34"/>
      <c r="B244" s="34"/>
      <c r="C244" s="34"/>
      <c r="D244" s="34"/>
      <c r="E244" s="34"/>
      <c r="F244" s="34"/>
      <c r="G244" s="34"/>
      <c r="H244" s="34"/>
      <c r="I244" s="34"/>
      <c r="J244" s="34"/>
      <c r="K244" s="34"/>
    </row>
    <row r="245" spans="1:11" ht="15.75" customHeight="1" x14ac:dyDescent="0.25">
      <c r="A245" s="34"/>
      <c r="B245" s="34"/>
      <c r="C245" s="34"/>
      <c r="D245" s="34"/>
      <c r="E245" s="34"/>
      <c r="F245" s="34"/>
      <c r="G245" s="34"/>
      <c r="H245" s="34"/>
      <c r="I245" s="34"/>
      <c r="J245" s="34"/>
      <c r="K245" s="34"/>
    </row>
    <row r="246" spans="1:11" ht="15.75" customHeight="1" x14ac:dyDescent="0.25">
      <c r="A246" s="34"/>
      <c r="B246" s="34"/>
      <c r="C246" s="34"/>
      <c r="D246" s="34"/>
      <c r="E246" s="34"/>
      <c r="F246" s="34"/>
      <c r="G246" s="34"/>
      <c r="H246" s="34"/>
      <c r="I246" s="34"/>
      <c r="J246" s="34"/>
      <c r="K246" s="34"/>
    </row>
    <row r="247" spans="1:11" ht="15.75" customHeight="1" x14ac:dyDescent="0.25">
      <c r="A247" s="34"/>
      <c r="B247" s="34"/>
      <c r="C247" s="34"/>
      <c r="D247" s="34"/>
      <c r="E247" s="34"/>
      <c r="F247" s="34"/>
      <c r="G247" s="34"/>
      <c r="H247" s="34"/>
      <c r="I247" s="34"/>
      <c r="J247" s="34"/>
      <c r="K247" s="34"/>
    </row>
    <row r="248" spans="1:11" ht="15.75" customHeight="1" x14ac:dyDescent="0.25">
      <c r="A248" s="34"/>
      <c r="B248" s="34"/>
      <c r="C248" s="34"/>
      <c r="D248" s="34"/>
      <c r="E248" s="34"/>
      <c r="F248" s="34"/>
      <c r="G248" s="34"/>
      <c r="H248" s="34"/>
      <c r="I248" s="34"/>
      <c r="J248" s="34"/>
      <c r="K248" s="34"/>
    </row>
    <row r="249" spans="1:11" ht="15.75" customHeight="1" x14ac:dyDescent="0.25">
      <c r="A249" s="34"/>
      <c r="B249" s="34"/>
      <c r="C249" s="34"/>
      <c r="D249" s="34"/>
      <c r="E249" s="34"/>
      <c r="F249" s="34"/>
      <c r="G249" s="34"/>
      <c r="H249" s="34"/>
      <c r="I249" s="34"/>
      <c r="J249" s="34"/>
      <c r="K249" s="34"/>
    </row>
    <row r="250" spans="1:11" ht="15.75" customHeight="1" x14ac:dyDescent="0.25">
      <c r="A250" s="34"/>
      <c r="B250" s="34"/>
      <c r="C250" s="34"/>
      <c r="D250" s="34"/>
      <c r="E250" s="34"/>
      <c r="F250" s="34"/>
      <c r="G250" s="34"/>
      <c r="H250" s="34"/>
      <c r="I250" s="34"/>
      <c r="J250" s="34"/>
      <c r="K250" s="34"/>
    </row>
    <row r="251" spans="1:11" ht="15.75" customHeight="1" x14ac:dyDescent="0.25">
      <c r="A251" s="34"/>
      <c r="B251" s="34"/>
      <c r="C251" s="34"/>
      <c r="D251" s="34"/>
      <c r="E251" s="34"/>
      <c r="F251" s="34"/>
      <c r="G251" s="34"/>
      <c r="H251" s="34"/>
      <c r="I251" s="34"/>
      <c r="J251" s="34"/>
      <c r="K251" s="34"/>
    </row>
    <row r="252" spans="1:11" ht="15.75" customHeight="1" x14ac:dyDescent="0.25">
      <c r="A252" s="34"/>
      <c r="B252" s="34"/>
      <c r="C252" s="34"/>
      <c r="D252" s="34"/>
      <c r="E252" s="34"/>
      <c r="F252" s="34"/>
      <c r="G252" s="34"/>
      <c r="H252" s="34"/>
      <c r="I252" s="34"/>
      <c r="J252" s="34"/>
      <c r="K252" s="34"/>
    </row>
    <row r="253" spans="1:11" ht="15.75" customHeight="1" x14ac:dyDescent="0.25">
      <c r="A253" s="34"/>
      <c r="B253" s="34"/>
      <c r="C253" s="34"/>
      <c r="D253" s="34"/>
      <c r="E253" s="34"/>
      <c r="F253" s="34"/>
      <c r="G253" s="34"/>
      <c r="H253" s="34"/>
      <c r="I253" s="34"/>
      <c r="J253" s="34"/>
      <c r="K253" s="34"/>
    </row>
    <row r="254" spans="1:11" ht="15.75" customHeight="1" x14ac:dyDescent="0.25">
      <c r="A254" s="34"/>
      <c r="B254" s="34"/>
      <c r="C254" s="34"/>
      <c r="D254" s="34"/>
      <c r="E254" s="34"/>
      <c r="F254" s="34"/>
      <c r="G254" s="34"/>
      <c r="H254" s="34"/>
      <c r="I254" s="34"/>
      <c r="J254" s="34"/>
      <c r="K254" s="34"/>
    </row>
    <row r="255" spans="1:11" ht="15.75" customHeight="1" x14ac:dyDescent="0.25">
      <c r="A255" s="34"/>
      <c r="B255" s="34"/>
      <c r="C255" s="34"/>
      <c r="D255" s="34"/>
      <c r="E255" s="34"/>
      <c r="F255" s="34"/>
      <c r="G255" s="34"/>
      <c r="H255" s="34"/>
      <c r="I255" s="34"/>
      <c r="J255" s="34"/>
      <c r="K255" s="34"/>
    </row>
    <row r="256" spans="1:11" ht="15.75" customHeight="1" x14ac:dyDescent="0.25">
      <c r="A256" s="34"/>
      <c r="B256" s="34"/>
      <c r="C256" s="34"/>
      <c r="D256" s="34"/>
      <c r="E256" s="34"/>
      <c r="F256" s="34"/>
      <c r="G256" s="34"/>
      <c r="H256" s="34"/>
      <c r="I256" s="34"/>
      <c r="J256" s="34"/>
      <c r="K256" s="34"/>
    </row>
    <row r="257" spans="1:11" ht="15.75" customHeight="1" x14ac:dyDescent="0.25">
      <c r="A257" s="34"/>
      <c r="B257" s="34"/>
      <c r="C257" s="34"/>
      <c r="D257" s="34"/>
      <c r="E257" s="34"/>
      <c r="F257" s="34"/>
      <c r="G257" s="34"/>
      <c r="H257" s="34"/>
      <c r="I257" s="34"/>
      <c r="J257" s="34"/>
      <c r="K257" s="34"/>
    </row>
    <row r="258" spans="1:11" ht="15.75" customHeight="1" x14ac:dyDescent="0.25">
      <c r="A258" s="34"/>
      <c r="B258" s="34"/>
      <c r="C258" s="34"/>
      <c r="D258" s="34"/>
      <c r="E258" s="34"/>
      <c r="F258" s="34"/>
      <c r="G258" s="34"/>
      <c r="H258" s="34"/>
      <c r="I258" s="34"/>
      <c r="J258" s="34"/>
      <c r="K258" s="34"/>
    </row>
    <row r="259" spans="1:11" ht="15.75" customHeight="1" x14ac:dyDescent="0.25">
      <c r="A259" s="34"/>
      <c r="B259" s="34"/>
      <c r="C259" s="34"/>
      <c r="D259" s="34"/>
      <c r="E259" s="34"/>
      <c r="F259" s="34"/>
      <c r="G259" s="34"/>
      <c r="H259" s="34"/>
      <c r="I259" s="34"/>
      <c r="J259" s="34"/>
      <c r="K259" s="34"/>
    </row>
    <row r="260" spans="1:11" ht="15.75" customHeight="1" x14ac:dyDescent="0.25">
      <c r="A260" s="34"/>
      <c r="B260" s="34"/>
      <c r="C260" s="34"/>
      <c r="D260" s="34"/>
      <c r="E260" s="34"/>
      <c r="F260" s="34"/>
      <c r="G260" s="34"/>
      <c r="H260" s="34"/>
      <c r="I260" s="34"/>
      <c r="J260" s="34"/>
      <c r="K260" s="34"/>
    </row>
    <row r="261" spans="1:11" ht="15.75" customHeight="1" x14ac:dyDescent="0.25">
      <c r="A261" s="34"/>
      <c r="B261" s="34"/>
      <c r="C261" s="34"/>
      <c r="D261" s="34"/>
      <c r="E261" s="34"/>
      <c r="F261" s="34"/>
      <c r="G261" s="34"/>
      <c r="H261" s="34"/>
      <c r="I261" s="34"/>
      <c r="J261" s="34"/>
      <c r="K261" s="34"/>
    </row>
    <row r="262" spans="1:11" ht="15.75" customHeight="1" x14ac:dyDescent="0.25">
      <c r="A262" s="34"/>
      <c r="B262" s="34"/>
      <c r="C262" s="34"/>
      <c r="D262" s="34"/>
      <c r="E262" s="34"/>
      <c r="F262" s="34"/>
      <c r="G262" s="34"/>
      <c r="H262" s="34"/>
      <c r="I262" s="34"/>
      <c r="J262" s="34"/>
      <c r="K262" s="34"/>
    </row>
    <row r="263" spans="1:11" ht="15.75" customHeight="1" x14ac:dyDescent="0.25">
      <c r="A263" s="34"/>
      <c r="B263" s="34"/>
      <c r="C263" s="34"/>
      <c r="D263" s="34"/>
      <c r="E263" s="34"/>
      <c r="F263" s="34"/>
      <c r="G263" s="34"/>
      <c r="H263" s="34"/>
      <c r="I263" s="34"/>
      <c r="J263" s="34"/>
      <c r="K263" s="34"/>
    </row>
    <row r="264" spans="1:11" ht="15.75" customHeight="1" x14ac:dyDescent="0.25">
      <c r="A264" s="34"/>
      <c r="B264" s="34"/>
      <c r="C264" s="34"/>
      <c r="D264" s="34"/>
      <c r="E264" s="34"/>
      <c r="F264" s="34"/>
      <c r="G264" s="34"/>
      <c r="H264" s="34"/>
      <c r="I264" s="34"/>
      <c r="J264" s="34"/>
      <c r="K264" s="34"/>
    </row>
    <row r="265" spans="1:11" ht="15.75" customHeight="1" x14ac:dyDescent="0.25">
      <c r="A265" s="34"/>
      <c r="B265" s="34"/>
      <c r="C265" s="34"/>
      <c r="D265" s="34"/>
      <c r="E265" s="34"/>
      <c r="F265" s="34"/>
      <c r="G265" s="34"/>
      <c r="H265" s="34"/>
      <c r="I265" s="34"/>
      <c r="J265" s="34"/>
      <c r="K265" s="34"/>
    </row>
    <row r="266" spans="1:11" ht="15.75" customHeight="1" x14ac:dyDescent="0.25">
      <c r="A266" s="34"/>
      <c r="B266" s="34"/>
      <c r="C266" s="34"/>
      <c r="D266" s="34"/>
      <c r="E266" s="34"/>
      <c r="F266" s="34"/>
      <c r="G266" s="34"/>
      <c r="H266" s="34"/>
      <c r="I266" s="34"/>
      <c r="J266" s="34"/>
      <c r="K266" s="34"/>
    </row>
    <row r="267" spans="1:11" ht="15.75" customHeight="1" x14ac:dyDescent="0.25">
      <c r="A267" s="34"/>
      <c r="B267" s="34"/>
      <c r="C267" s="34"/>
      <c r="D267" s="34"/>
      <c r="E267" s="34"/>
      <c r="F267" s="34"/>
      <c r="G267" s="34"/>
      <c r="H267" s="34"/>
      <c r="I267" s="34"/>
      <c r="J267" s="34"/>
      <c r="K267" s="34"/>
    </row>
    <row r="268" spans="1:11" ht="15.75" customHeight="1" x14ac:dyDescent="0.25">
      <c r="A268" s="34"/>
      <c r="B268" s="34"/>
      <c r="C268" s="34"/>
      <c r="D268" s="34"/>
      <c r="E268" s="34"/>
      <c r="F268" s="34"/>
      <c r="G268" s="34"/>
      <c r="H268" s="34"/>
      <c r="I268" s="34"/>
      <c r="J268" s="34"/>
      <c r="K268" s="34"/>
    </row>
    <row r="269" spans="1:11" ht="15.75" customHeight="1" x14ac:dyDescent="0.25">
      <c r="A269" s="34"/>
      <c r="B269" s="34"/>
      <c r="C269" s="34"/>
      <c r="D269" s="34"/>
      <c r="E269" s="34"/>
      <c r="F269" s="34"/>
      <c r="G269" s="34"/>
      <c r="H269" s="34"/>
      <c r="I269" s="34"/>
      <c r="J269" s="34"/>
      <c r="K269" s="34"/>
    </row>
    <row r="270" spans="1:11" ht="15.75" customHeight="1" x14ac:dyDescent="0.25">
      <c r="A270" s="34"/>
      <c r="B270" s="34"/>
      <c r="C270" s="34"/>
      <c r="D270" s="34"/>
      <c r="E270" s="34"/>
      <c r="F270" s="34"/>
      <c r="G270" s="34"/>
      <c r="H270" s="34"/>
      <c r="I270" s="34"/>
      <c r="J270" s="34"/>
      <c r="K270" s="34"/>
    </row>
    <row r="271" spans="1:11" ht="15.75" customHeight="1" x14ac:dyDescent="0.25">
      <c r="A271" s="34"/>
      <c r="B271" s="34"/>
      <c r="C271" s="34"/>
      <c r="D271" s="34"/>
      <c r="E271" s="34"/>
      <c r="F271" s="34"/>
      <c r="G271" s="34"/>
      <c r="H271" s="34"/>
      <c r="I271" s="34"/>
      <c r="J271" s="34"/>
      <c r="K271" s="34"/>
    </row>
    <row r="272" spans="1:11" ht="15.75" customHeight="1" x14ac:dyDescent="0.25">
      <c r="A272" s="34"/>
      <c r="B272" s="34"/>
      <c r="C272" s="34"/>
      <c r="D272" s="34"/>
      <c r="E272" s="34"/>
      <c r="F272" s="34"/>
      <c r="G272" s="34"/>
      <c r="H272" s="34"/>
      <c r="I272" s="34"/>
      <c r="J272" s="34"/>
      <c r="K272" s="34"/>
    </row>
    <row r="273" spans="1:11" ht="15.75" customHeight="1" x14ac:dyDescent="0.25">
      <c r="A273" s="34"/>
      <c r="B273" s="34"/>
      <c r="C273" s="34"/>
      <c r="D273" s="34"/>
      <c r="E273" s="34"/>
      <c r="F273" s="34"/>
      <c r="G273" s="34"/>
      <c r="H273" s="34"/>
      <c r="I273" s="34"/>
      <c r="J273" s="34"/>
      <c r="K273" s="34"/>
    </row>
    <row r="274" spans="1:11" ht="15.75" customHeight="1" x14ac:dyDescent="0.25">
      <c r="A274" s="34"/>
      <c r="B274" s="34"/>
      <c r="C274" s="34"/>
      <c r="D274" s="34"/>
      <c r="E274" s="34"/>
      <c r="F274" s="34"/>
      <c r="G274" s="34"/>
      <c r="H274" s="34"/>
      <c r="I274" s="34"/>
      <c r="J274" s="34"/>
      <c r="K274" s="34"/>
    </row>
    <row r="275" spans="1:11" ht="15.75" customHeight="1" x14ac:dyDescent="0.25">
      <c r="A275" s="34"/>
      <c r="B275" s="34"/>
      <c r="C275" s="34"/>
      <c r="D275" s="34"/>
      <c r="E275" s="34"/>
      <c r="F275" s="34"/>
      <c r="G275" s="34"/>
      <c r="H275" s="34"/>
      <c r="I275" s="34"/>
      <c r="J275" s="34"/>
      <c r="K275" s="34"/>
    </row>
    <row r="276" spans="1:11" ht="15.75" customHeight="1" x14ac:dyDescent="0.25">
      <c r="A276" s="34"/>
      <c r="B276" s="34"/>
      <c r="C276" s="34"/>
      <c r="D276" s="34"/>
      <c r="E276" s="34"/>
      <c r="F276" s="34"/>
      <c r="G276" s="34"/>
      <c r="H276" s="34"/>
      <c r="I276" s="34"/>
      <c r="J276" s="34"/>
      <c r="K276" s="34"/>
    </row>
    <row r="277" spans="1:11" ht="15.75" customHeight="1" x14ac:dyDescent="0.25">
      <c r="A277" s="34"/>
      <c r="B277" s="34"/>
      <c r="C277" s="34"/>
      <c r="D277" s="34"/>
      <c r="E277" s="34"/>
      <c r="F277" s="34"/>
      <c r="G277" s="34"/>
      <c r="H277" s="34"/>
      <c r="I277" s="34"/>
      <c r="J277" s="34"/>
      <c r="K277" s="34"/>
    </row>
    <row r="278" spans="1:11" ht="15.75" customHeight="1" x14ac:dyDescent="0.25">
      <c r="A278" s="34"/>
      <c r="B278" s="34"/>
      <c r="C278" s="34"/>
      <c r="D278" s="34"/>
      <c r="E278" s="34"/>
      <c r="F278" s="34"/>
      <c r="G278" s="34"/>
      <c r="H278" s="34"/>
      <c r="I278" s="34"/>
      <c r="J278" s="34"/>
      <c r="K278" s="34"/>
    </row>
    <row r="279" spans="1:11" ht="15.75" customHeight="1" x14ac:dyDescent="0.25">
      <c r="A279" s="34"/>
      <c r="B279" s="34"/>
      <c r="C279" s="34"/>
      <c r="D279" s="34"/>
      <c r="E279" s="34"/>
      <c r="F279" s="34"/>
      <c r="G279" s="34"/>
      <c r="H279" s="34"/>
      <c r="I279" s="34"/>
      <c r="J279" s="34"/>
      <c r="K279" s="34"/>
    </row>
    <row r="280" spans="1:11" ht="15.75" customHeight="1" x14ac:dyDescent="0.25">
      <c r="A280" s="34"/>
      <c r="B280" s="34"/>
      <c r="C280" s="34"/>
      <c r="D280" s="34"/>
      <c r="E280" s="34"/>
      <c r="F280" s="34"/>
      <c r="G280" s="34"/>
      <c r="H280" s="34"/>
      <c r="I280" s="34"/>
      <c r="J280" s="34"/>
      <c r="K280" s="34"/>
    </row>
    <row r="281" spans="1:11" ht="15.75" customHeight="1" x14ac:dyDescent="0.25">
      <c r="A281" s="34"/>
      <c r="B281" s="34"/>
      <c r="C281" s="34"/>
      <c r="D281" s="34"/>
      <c r="E281" s="34"/>
      <c r="F281" s="34"/>
      <c r="G281" s="34"/>
      <c r="H281" s="34"/>
      <c r="I281" s="34"/>
      <c r="J281" s="34"/>
      <c r="K281" s="34"/>
    </row>
    <row r="282" spans="1:11" ht="15.75" customHeight="1" x14ac:dyDescent="0.25">
      <c r="A282" s="34"/>
      <c r="B282" s="34"/>
      <c r="C282" s="34"/>
      <c r="D282" s="34"/>
      <c r="E282" s="34"/>
      <c r="F282" s="34"/>
      <c r="G282" s="34"/>
      <c r="H282" s="34"/>
      <c r="I282" s="34"/>
      <c r="J282" s="34"/>
      <c r="K282" s="34"/>
    </row>
    <row r="283" spans="1:11" ht="15.75" customHeight="1" x14ac:dyDescent="0.25">
      <c r="A283" s="34"/>
      <c r="B283" s="34"/>
      <c r="C283" s="34"/>
      <c r="D283" s="34"/>
      <c r="E283" s="34"/>
      <c r="F283" s="34"/>
      <c r="G283" s="34"/>
      <c r="H283" s="34"/>
      <c r="I283" s="34"/>
      <c r="J283" s="34"/>
      <c r="K283" s="34"/>
    </row>
    <row r="284" spans="1:11" ht="15.75" customHeight="1" x14ac:dyDescent="0.25">
      <c r="A284" s="34"/>
      <c r="B284" s="34"/>
      <c r="C284" s="34"/>
      <c r="D284" s="34"/>
      <c r="E284" s="34"/>
      <c r="F284" s="34"/>
      <c r="G284" s="34"/>
      <c r="H284" s="34"/>
      <c r="I284" s="34"/>
      <c r="J284" s="34"/>
      <c r="K284" s="34"/>
    </row>
    <row r="285" spans="1:11" ht="15.75" customHeight="1" x14ac:dyDescent="0.25">
      <c r="A285" s="34"/>
      <c r="B285" s="34"/>
      <c r="C285" s="34"/>
      <c r="D285" s="34"/>
      <c r="E285" s="34"/>
      <c r="F285" s="34"/>
      <c r="G285" s="34"/>
      <c r="H285" s="34"/>
      <c r="I285" s="34"/>
      <c r="J285" s="34"/>
      <c r="K285" s="34"/>
    </row>
    <row r="286" spans="1:11" ht="15.75" customHeight="1" x14ac:dyDescent="0.25"/>
    <row r="287" spans="1:11" ht="15.75" customHeight="1" x14ac:dyDescent="0.25"/>
    <row r="288" spans="1:11"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sheetData>
  <conditionalFormatting sqref="B43:H43 J43:K43 B61:I61">
    <cfRule type="cellIs" dxfId="488" priority="14" operator="equal">
      <formula>4</formula>
    </cfRule>
  </conditionalFormatting>
  <conditionalFormatting sqref="B80:I80 B89:I89 B98:I98">
    <cfRule type="cellIs" dxfId="487" priority="10" operator="equal">
      <formula>8</formula>
    </cfRule>
  </conditionalFormatting>
  <conditionalFormatting sqref="B71:I71">
    <cfRule type="cellIs" dxfId="486" priority="9" operator="equal">
      <formula>2</formula>
    </cfRule>
  </conditionalFormatting>
  <conditionalFormatting sqref="I43">
    <cfRule type="cellIs" dxfId="485" priority="2" operator="equal">
      <formula>4</formula>
    </cfRule>
  </conditionalFormatting>
  <conditionalFormatting sqref="J89">
    <cfRule type="cellIs" dxfId="484" priority="1" operator="equal">
      <formula>8</formula>
    </cfRule>
  </conditionalFormatting>
  <hyperlinks>
    <hyperlink ref="C1" r:id="rId1" location="id=2533454" display="Zabraarallongex" xr:uid="{D0E2BDB8-E71F-4AAA-BE6E-C83F7D41CC17}"/>
    <hyperlink ref="B1" r:id="rId2" location="id=2533415" xr:uid="{73550236-1F7C-475A-8409-9CEC7A97C519}"/>
    <hyperlink ref="H1" r:id="rId3" location="id=2535463" xr:uid="{39C2CD25-DDC1-43BA-B416-6435D1B4EA6F}"/>
    <hyperlink ref="G1" r:id="rId4" location="id=2538135" xr:uid="{FF4B1E88-B408-47F1-A26E-597B7FE145C8}"/>
    <hyperlink ref="F1" r:id="rId5" location="id=2534175" xr:uid="{F0BB3681-6B1F-4D7E-ABFD-272695697941}"/>
    <hyperlink ref="E1" r:id="rId6" location="id=2027709" xr:uid="{F724931C-6D02-4523-BB99-9BDDF6E6607C}"/>
    <hyperlink ref="C54" r:id="rId7" display="https://2e.aonprd.com/Backgrounds.aspx?ID=50" xr:uid="{D5B42734-9EC4-47A8-A3E0-4E210B85A539}"/>
    <hyperlink ref="B54" r:id="rId8" display="https://2e.aonprd.com/Backgrounds.aspx?ID=44" xr:uid="{346D4A4B-54EC-4018-A2D9-CBEEA9CE979E}"/>
    <hyperlink ref="J1" r:id="rId9" display="https://2e.aonprd.com/Monsters.aspx?ID=118" xr:uid="{802BF5E4-7552-4E42-A4BE-C91A57C29C35}"/>
    <hyperlink ref="K1" r:id="rId10" display="https://2e.aonprd.com/Monsters.aspx?ID=118" xr:uid="{684B4F4D-7D2C-47A0-95F9-8B2BEFB56317}"/>
    <hyperlink ref="D54:H54" r:id="rId11" display="https://2e.aonprd.com/Backgrounds.aspx?ID=50" xr:uid="{5358D287-EF75-46C4-A5C0-B2793AA7335A}"/>
    <hyperlink ref="D1" r:id="rId12" location="id=2544341" xr:uid="{25EF0C46-AAB1-4A3E-BA82-79AE43FE0579}"/>
    <hyperlink ref="D54" r:id="rId13" display="https://2e.aonprd.com/Backgrounds.aspx?ID=5" xr:uid="{E611E593-2878-4952-8CA2-F07B122D81E7}"/>
    <hyperlink ref="I54" r:id="rId14" display="https://2e.aonprd.com/Backgrounds.aspx?ID=168" xr:uid="{F49A9ED2-DD58-4B52-AF9D-9FF36BD722B4}"/>
    <hyperlink ref="I1" r:id="rId15" location="id=2561941" xr:uid="{A67B0C1E-916C-4C57-8A24-468170A52EE7}"/>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22"/>
  <sheetViews>
    <sheetView showGridLines="0" workbookViewId="0">
      <pane xSplit="1" ySplit="1" topLeftCell="B167" activePane="bottomRight" state="frozen"/>
      <selection activeCell="H534" sqref="H534"/>
      <selection pane="topRight" activeCell="H534" sqref="H534"/>
      <selection pane="bottomLeft" activeCell="H534" sqref="H534"/>
      <selection pane="bottomRight" activeCell="H534" sqref="H534"/>
    </sheetView>
  </sheetViews>
  <sheetFormatPr baseColWidth="10" defaultColWidth="14.42578125" defaultRowHeight="15" customHeight="1" outlineLevelRow="1" x14ac:dyDescent="0.25"/>
  <cols>
    <col min="1" max="1" width="19.85546875" style="31" customWidth="1"/>
    <col min="2" max="2" width="15.85546875" style="31" customWidth="1"/>
    <col min="3" max="3" width="15.85546875" style="31" customWidth="1" collapsed="1"/>
    <col min="4" max="10" width="15.85546875" style="31" customWidth="1"/>
    <col min="11" max="11" width="14.42578125" style="31"/>
    <col min="12" max="12" width="14.42578125" style="31" customWidth="1"/>
    <col min="13" max="13" width="2.5703125" style="31" customWidth="1"/>
    <col min="14" max="16384" width="14.42578125" style="31"/>
  </cols>
  <sheetData>
    <row r="1" spans="1:13" ht="15" customHeight="1" thickBot="1" x14ac:dyDescent="0.3">
      <c r="A1" s="103" t="s">
        <v>19</v>
      </c>
      <c r="B1" s="254" t="s">
        <v>154</v>
      </c>
      <c r="C1" s="254" t="s">
        <v>1025</v>
      </c>
      <c r="D1" s="818" t="s">
        <v>659</v>
      </c>
      <c r="E1" s="255" t="s">
        <v>266</v>
      </c>
      <c r="F1" s="255" t="s">
        <v>155</v>
      </c>
      <c r="G1" s="255" t="s">
        <v>204</v>
      </c>
      <c r="H1" s="254" t="s">
        <v>156</v>
      </c>
      <c r="I1" s="1141" t="s">
        <v>849</v>
      </c>
      <c r="J1" s="268" t="s">
        <v>153</v>
      </c>
    </row>
    <row r="2" spans="1:13" ht="15" customHeight="1" thickBot="1" x14ac:dyDescent="0.3">
      <c r="A2" s="32" t="s">
        <v>22</v>
      </c>
      <c r="B2" s="33">
        <f t="shared" ref="B2:J2" si="0">B42+B171+B211+B244</f>
        <v>13</v>
      </c>
      <c r="C2" s="33">
        <f t="shared" si="0"/>
        <v>10</v>
      </c>
      <c r="D2" s="33">
        <f t="shared" si="0"/>
        <v>11</v>
      </c>
      <c r="E2" s="33">
        <f t="shared" si="0"/>
        <v>11</v>
      </c>
      <c r="F2" s="33">
        <f t="shared" si="0"/>
        <v>13</v>
      </c>
      <c r="G2" s="33">
        <f t="shared" si="0"/>
        <v>9</v>
      </c>
      <c r="H2" s="33">
        <f t="shared" si="0"/>
        <v>11</v>
      </c>
      <c r="I2" s="33">
        <f t="shared" ref="I2" si="1">I42+I171+I211+I244</f>
        <v>8</v>
      </c>
      <c r="J2" s="33">
        <f t="shared" si="0"/>
        <v>9</v>
      </c>
    </row>
    <row r="3" spans="1:13" ht="7.5" customHeight="1" thickBot="1" x14ac:dyDescent="0.3">
      <c r="A3" s="34"/>
    </row>
    <row r="4" spans="1:13" ht="15.75" customHeight="1" x14ac:dyDescent="0.25">
      <c r="A4" s="35" t="s">
        <v>64</v>
      </c>
      <c r="B4" s="36">
        <f t="shared" ref="B4:J6" si="2">B45+B172+B212+B245</f>
        <v>9</v>
      </c>
      <c r="C4" s="37">
        <f t="shared" si="2"/>
        <v>10</v>
      </c>
      <c r="D4" s="37">
        <f t="shared" si="2"/>
        <v>9</v>
      </c>
      <c r="E4" s="37">
        <f t="shared" si="2"/>
        <v>12</v>
      </c>
      <c r="F4" s="37">
        <f t="shared" si="2"/>
        <v>9</v>
      </c>
      <c r="G4" s="37">
        <f t="shared" si="2"/>
        <v>8</v>
      </c>
      <c r="H4" s="37">
        <f t="shared" si="2"/>
        <v>13</v>
      </c>
      <c r="I4" s="37">
        <f t="shared" ref="I4" si="3">I45+I172+I212+I245</f>
        <v>10</v>
      </c>
      <c r="J4" s="37">
        <f t="shared" si="2"/>
        <v>12</v>
      </c>
    </row>
    <row r="5" spans="1:13" ht="15.75" customHeight="1" x14ac:dyDescent="0.25">
      <c r="A5" s="39" t="s">
        <v>65</v>
      </c>
      <c r="B5" s="9">
        <f t="shared" si="2"/>
        <v>12</v>
      </c>
      <c r="C5" s="10">
        <f t="shared" si="2"/>
        <v>11</v>
      </c>
      <c r="D5" s="10">
        <f t="shared" si="2"/>
        <v>11</v>
      </c>
      <c r="E5" s="10">
        <f t="shared" si="2"/>
        <v>10</v>
      </c>
      <c r="F5" s="10">
        <f t="shared" si="2"/>
        <v>10</v>
      </c>
      <c r="G5" s="10">
        <f t="shared" si="2"/>
        <v>13</v>
      </c>
      <c r="H5" s="10">
        <f t="shared" si="2"/>
        <v>11</v>
      </c>
      <c r="I5" s="10">
        <f t="shared" ref="I5" si="4">I46+I173+I213+I246</f>
        <v>13</v>
      </c>
      <c r="J5" s="10">
        <f t="shared" si="2"/>
        <v>13</v>
      </c>
    </row>
    <row r="6" spans="1:13" ht="15.75" customHeight="1" thickBot="1" x14ac:dyDescent="0.3">
      <c r="A6" s="40" t="s">
        <v>66</v>
      </c>
      <c r="B6" s="20">
        <f t="shared" si="2"/>
        <v>13</v>
      </c>
      <c r="C6" s="18">
        <f t="shared" si="2"/>
        <v>12</v>
      </c>
      <c r="D6" s="18">
        <f t="shared" si="2"/>
        <v>11</v>
      </c>
      <c r="E6" s="18">
        <f t="shared" si="2"/>
        <v>11</v>
      </c>
      <c r="F6" s="18">
        <f t="shared" si="2"/>
        <v>13</v>
      </c>
      <c r="G6" s="18">
        <f t="shared" si="2"/>
        <v>9</v>
      </c>
      <c r="H6" s="18">
        <f t="shared" si="2"/>
        <v>11</v>
      </c>
      <c r="I6" s="18">
        <f t="shared" ref="I6" si="5">I47+I174+I214+I247</f>
        <v>8</v>
      </c>
      <c r="J6" s="18">
        <f t="shared" si="2"/>
        <v>9</v>
      </c>
    </row>
    <row r="7" spans="1:13" ht="7.5" customHeight="1" thickBot="1" x14ac:dyDescent="0.3">
      <c r="A7" s="34"/>
    </row>
    <row r="8" spans="1:13" ht="15" customHeight="1" x14ac:dyDescent="0.25">
      <c r="A8" s="35" t="s">
        <v>20</v>
      </c>
      <c r="B8" s="36">
        <f t="shared" ref="B8:J8" si="6">B49+B175+B215+B248+B277</f>
        <v>3</v>
      </c>
      <c r="C8" s="37">
        <f t="shared" si="6"/>
        <v>2</v>
      </c>
      <c r="D8" s="37">
        <f t="shared" si="6"/>
        <v>2</v>
      </c>
      <c r="E8" s="37">
        <f t="shared" si="6"/>
        <v>12</v>
      </c>
      <c r="F8" s="37">
        <f t="shared" si="6"/>
        <v>10</v>
      </c>
      <c r="G8" s="37">
        <f t="shared" si="6"/>
        <v>13</v>
      </c>
      <c r="H8" s="37">
        <f t="shared" si="6"/>
        <v>11</v>
      </c>
      <c r="I8" s="37">
        <f t="shared" ref="I8" si="7">I49+I175+I215+I248+I277</f>
        <v>13</v>
      </c>
      <c r="J8" s="38">
        <f t="shared" si="6"/>
        <v>11</v>
      </c>
      <c r="L8" s="41" t="s">
        <v>87</v>
      </c>
      <c r="M8" s="42"/>
    </row>
    <row r="9" spans="1:13" ht="15" customHeight="1" x14ac:dyDescent="0.25">
      <c r="A9" s="43" t="s">
        <v>51</v>
      </c>
      <c r="B9" s="9">
        <f t="shared" ref="B9:H9" si="8">B50+B176+B216+B249</f>
        <v>2</v>
      </c>
      <c r="C9" s="10">
        <f t="shared" si="8"/>
        <v>11</v>
      </c>
      <c r="D9" s="10">
        <f t="shared" si="8"/>
        <v>1</v>
      </c>
      <c r="E9" s="10">
        <f t="shared" si="8"/>
        <v>1</v>
      </c>
      <c r="F9" s="10">
        <f t="shared" si="8"/>
        <v>9</v>
      </c>
      <c r="G9" s="10">
        <f t="shared" si="8"/>
        <v>1</v>
      </c>
      <c r="H9" s="10">
        <f t="shared" si="8"/>
        <v>0</v>
      </c>
      <c r="I9" s="10">
        <f t="shared" ref="I9" si="9">I50+I176+I216+I249</f>
        <v>3</v>
      </c>
      <c r="J9" s="11"/>
      <c r="L9" s="44" t="s">
        <v>138</v>
      </c>
      <c r="M9" s="45"/>
    </row>
    <row r="10" spans="1:13" ht="15" customHeight="1" x14ac:dyDescent="0.25">
      <c r="A10" s="43" t="s">
        <v>52</v>
      </c>
      <c r="B10" s="9">
        <f t="shared" ref="B10:J10" si="10">B51+B177+B217+B250+B278</f>
        <v>7</v>
      </c>
      <c r="C10" s="10">
        <f t="shared" si="10"/>
        <v>0</v>
      </c>
      <c r="D10" s="10">
        <f t="shared" si="10"/>
        <v>9</v>
      </c>
      <c r="E10" s="10">
        <f t="shared" si="10"/>
        <v>13</v>
      </c>
      <c r="F10" s="10">
        <f t="shared" si="10"/>
        <v>0</v>
      </c>
      <c r="G10" s="10">
        <f t="shared" si="10"/>
        <v>11</v>
      </c>
      <c r="H10" s="10">
        <f t="shared" si="10"/>
        <v>13</v>
      </c>
      <c r="I10" s="10">
        <f t="shared" ref="I10" si="11">I51+I177+I217+I250+I278</f>
        <v>7</v>
      </c>
      <c r="J10" s="11">
        <f t="shared" si="10"/>
        <v>10</v>
      </c>
      <c r="L10" s="44" t="s">
        <v>88</v>
      </c>
      <c r="M10" s="45">
        <v>2</v>
      </c>
    </row>
    <row r="11" spans="1:13" ht="15" customHeight="1" x14ac:dyDescent="0.25">
      <c r="A11" s="43" t="s">
        <v>53</v>
      </c>
      <c r="B11" s="9">
        <f t="shared" ref="B11:H16" si="12">B52+B178+B218+B251</f>
        <v>2</v>
      </c>
      <c r="C11" s="10">
        <f t="shared" si="12"/>
        <v>11</v>
      </c>
      <c r="D11" s="10">
        <f t="shared" si="12"/>
        <v>10</v>
      </c>
      <c r="E11" s="10">
        <f t="shared" si="12"/>
        <v>8</v>
      </c>
      <c r="F11" s="10">
        <f t="shared" si="12"/>
        <v>2</v>
      </c>
      <c r="G11" s="10">
        <f t="shared" si="12"/>
        <v>8</v>
      </c>
      <c r="H11" s="10">
        <f t="shared" si="12"/>
        <v>0</v>
      </c>
      <c r="I11" s="10">
        <f t="shared" ref="I11" si="13">I52+I178+I218+I251</f>
        <v>10</v>
      </c>
      <c r="J11" s="11"/>
      <c r="L11" s="44" t="s">
        <v>86</v>
      </c>
      <c r="M11" s="45">
        <v>4</v>
      </c>
    </row>
    <row r="12" spans="1:13" ht="15" customHeight="1" x14ac:dyDescent="0.25">
      <c r="A12" s="43" t="s">
        <v>54</v>
      </c>
      <c r="B12" s="9">
        <f t="shared" si="12"/>
        <v>4</v>
      </c>
      <c r="C12" s="10">
        <f t="shared" si="12"/>
        <v>9</v>
      </c>
      <c r="D12" s="10">
        <f t="shared" si="12"/>
        <v>4</v>
      </c>
      <c r="E12" s="10">
        <f t="shared" si="12"/>
        <v>-1</v>
      </c>
      <c r="F12" s="10">
        <f t="shared" si="12"/>
        <v>3</v>
      </c>
      <c r="G12" s="10">
        <f t="shared" si="12"/>
        <v>13</v>
      </c>
      <c r="H12" s="10">
        <f t="shared" si="12"/>
        <v>0</v>
      </c>
      <c r="I12" s="10">
        <f t="shared" ref="I12" si="14">I53+I179+I219+I252</f>
        <v>12</v>
      </c>
      <c r="J12" s="11">
        <f>J53+J179+J219+J252</f>
        <v>0</v>
      </c>
      <c r="L12" s="44" t="s">
        <v>89</v>
      </c>
      <c r="M12" s="45">
        <v>6</v>
      </c>
    </row>
    <row r="13" spans="1:13" ht="15" customHeight="1" x14ac:dyDescent="0.25">
      <c r="A13" s="39" t="s">
        <v>21</v>
      </c>
      <c r="B13" s="9">
        <f t="shared" si="12"/>
        <v>11</v>
      </c>
      <c r="C13" s="10">
        <f t="shared" si="12"/>
        <v>9</v>
      </c>
      <c r="D13" s="10">
        <f t="shared" si="12"/>
        <v>11</v>
      </c>
      <c r="E13" s="10">
        <f t="shared" si="12"/>
        <v>-1</v>
      </c>
      <c r="F13" s="10">
        <f t="shared" si="12"/>
        <v>12</v>
      </c>
      <c r="G13" s="10">
        <f t="shared" si="12"/>
        <v>13</v>
      </c>
      <c r="H13" s="10">
        <f t="shared" si="12"/>
        <v>0</v>
      </c>
      <c r="I13" s="10">
        <f t="shared" ref="I13" si="15">I54+I180+I220+I253</f>
        <v>10</v>
      </c>
      <c r="J13" s="11"/>
      <c r="L13" s="46" t="s">
        <v>90</v>
      </c>
      <c r="M13" s="47">
        <v>8</v>
      </c>
    </row>
    <row r="14" spans="1:13" ht="15" customHeight="1" thickBot="1" x14ac:dyDescent="0.3">
      <c r="A14" s="1131" t="s">
        <v>55</v>
      </c>
      <c r="B14" s="20">
        <f t="shared" si="12"/>
        <v>4</v>
      </c>
      <c r="C14" s="18">
        <f t="shared" si="12"/>
        <v>2</v>
      </c>
      <c r="D14" s="18">
        <f t="shared" si="12"/>
        <v>11</v>
      </c>
      <c r="E14" s="18">
        <f t="shared" si="12"/>
        <v>-1</v>
      </c>
      <c r="F14" s="18">
        <f t="shared" si="12"/>
        <v>10</v>
      </c>
      <c r="G14" s="18">
        <f t="shared" si="12"/>
        <v>11</v>
      </c>
      <c r="H14" s="18">
        <f t="shared" si="12"/>
        <v>7</v>
      </c>
      <c r="I14" s="18">
        <f t="shared" ref="I14" si="16">I55+I181+I221+I254</f>
        <v>12</v>
      </c>
      <c r="J14" s="19">
        <f>J55+J181+J221+J254</f>
        <v>0</v>
      </c>
    </row>
    <row r="15" spans="1:13" ht="15" customHeight="1" thickBot="1" x14ac:dyDescent="0.3">
      <c r="A15" s="51" t="s">
        <v>56</v>
      </c>
      <c r="B15" s="523">
        <f t="shared" si="12"/>
        <v>2</v>
      </c>
      <c r="C15" s="33">
        <f t="shared" si="12"/>
        <v>4</v>
      </c>
      <c r="D15" s="33">
        <f t="shared" si="12"/>
        <v>1</v>
      </c>
      <c r="E15" s="33">
        <f t="shared" si="12"/>
        <v>1</v>
      </c>
      <c r="F15" s="33">
        <f t="shared" si="12"/>
        <v>2</v>
      </c>
      <c r="G15" s="33">
        <f t="shared" si="12"/>
        <v>1</v>
      </c>
      <c r="H15" s="33">
        <f t="shared" si="12"/>
        <v>0</v>
      </c>
      <c r="I15" s="33">
        <f t="shared" ref="I15" si="17">I56+I182+I222+I255</f>
        <v>3</v>
      </c>
      <c r="J15" s="795"/>
    </row>
    <row r="16" spans="1:13" ht="15" customHeight="1" x14ac:dyDescent="0.25">
      <c r="A16" s="289" t="s">
        <v>82</v>
      </c>
      <c r="B16" s="290">
        <f t="shared" si="12"/>
        <v>11</v>
      </c>
      <c r="C16" s="55">
        <f t="shared" si="12"/>
        <v>11</v>
      </c>
      <c r="D16" s="55">
        <f t="shared" si="12"/>
        <v>8</v>
      </c>
      <c r="E16" s="55">
        <f t="shared" si="12"/>
        <v>8</v>
      </c>
      <c r="F16" s="55">
        <f t="shared" si="12"/>
        <v>9</v>
      </c>
      <c r="G16" s="55">
        <f t="shared" si="12"/>
        <v>8</v>
      </c>
      <c r="H16" s="55">
        <f t="shared" si="12"/>
        <v>7</v>
      </c>
      <c r="I16" s="55">
        <f t="shared" ref="I16" si="18">I57+I183+I223+I256</f>
        <v>10</v>
      </c>
      <c r="J16" s="38"/>
    </row>
    <row r="17" spans="1:10" ht="15" customHeight="1" x14ac:dyDescent="0.25">
      <c r="A17" s="52" t="s">
        <v>83</v>
      </c>
      <c r="B17" s="187" t="s">
        <v>222</v>
      </c>
      <c r="C17" s="188" t="s">
        <v>223</v>
      </c>
      <c r="D17" s="188" t="s">
        <v>693</v>
      </c>
      <c r="E17" s="188" t="s">
        <v>98</v>
      </c>
      <c r="F17" s="188" t="s">
        <v>224</v>
      </c>
      <c r="G17" s="188" t="s">
        <v>225</v>
      </c>
      <c r="H17" s="188" t="s">
        <v>98</v>
      </c>
      <c r="I17" s="188" t="s">
        <v>848</v>
      </c>
      <c r="J17" s="796"/>
    </row>
    <row r="18" spans="1:10" ht="15" customHeight="1" x14ac:dyDescent="0.25">
      <c r="A18" s="53" t="s">
        <v>82</v>
      </c>
      <c r="B18" s="49">
        <f t="shared" ref="B18:H18" si="19">B58+B184+B224+B257</f>
        <v>9</v>
      </c>
      <c r="C18" s="25">
        <f t="shared" si="19"/>
        <v>4</v>
      </c>
      <c r="D18" s="25">
        <f t="shared" si="19"/>
        <v>1</v>
      </c>
      <c r="E18" s="25">
        <f t="shared" si="19"/>
        <v>1</v>
      </c>
      <c r="F18" s="25">
        <f t="shared" si="19"/>
        <v>9</v>
      </c>
      <c r="G18" s="25">
        <f t="shared" si="19"/>
        <v>1</v>
      </c>
      <c r="H18" s="25">
        <f t="shared" si="19"/>
        <v>0</v>
      </c>
      <c r="I18" s="25">
        <f t="shared" ref="I18" si="20">I58+I184+I224+I257</f>
        <v>3</v>
      </c>
      <c r="J18" s="50"/>
    </row>
    <row r="19" spans="1:10" ht="15" customHeight="1" x14ac:dyDescent="0.25">
      <c r="A19" s="52" t="s">
        <v>83</v>
      </c>
      <c r="B19" s="187" t="s">
        <v>36</v>
      </c>
      <c r="C19" s="188"/>
      <c r="D19" s="188"/>
      <c r="E19" s="188"/>
      <c r="F19" s="188" t="s">
        <v>255</v>
      </c>
      <c r="G19" s="188"/>
      <c r="H19" s="188"/>
      <c r="I19" s="188"/>
      <c r="J19" s="15"/>
    </row>
    <row r="20" spans="1:10" ht="15" customHeight="1" x14ac:dyDescent="0.25">
      <c r="A20" s="53" t="s">
        <v>82</v>
      </c>
      <c r="B20" s="49">
        <f t="shared" ref="B20:H20" si="21">B59+B185+B225+B258</f>
        <v>2</v>
      </c>
      <c r="C20" s="25">
        <f t="shared" si="21"/>
        <v>4</v>
      </c>
      <c r="D20" s="25">
        <f t="shared" si="21"/>
        <v>1</v>
      </c>
      <c r="E20" s="25">
        <f t="shared" si="21"/>
        <v>1</v>
      </c>
      <c r="F20" s="25">
        <f t="shared" si="21"/>
        <v>2</v>
      </c>
      <c r="G20" s="25">
        <f t="shared" si="21"/>
        <v>1</v>
      </c>
      <c r="H20" s="25">
        <f t="shared" si="21"/>
        <v>0</v>
      </c>
      <c r="I20" s="25">
        <f t="shared" ref="I20" si="22">I59+I185+I225+I258</f>
        <v>3</v>
      </c>
      <c r="J20" s="50"/>
    </row>
    <row r="21" spans="1:10" ht="15" customHeight="1" thickBot="1" x14ac:dyDescent="0.3">
      <c r="A21" s="54" t="s">
        <v>83</v>
      </c>
      <c r="B21" s="192"/>
      <c r="C21" s="193"/>
      <c r="D21" s="193"/>
      <c r="E21" s="193"/>
      <c r="F21" s="193"/>
      <c r="G21" s="193"/>
      <c r="H21" s="193"/>
      <c r="I21" s="193"/>
      <c r="J21" s="16"/>
    </row>
    <row r="22" spans="1:10" ht="15" customHeight="1" x14ac:dyDescent="0.25">
      <c r="A22" s="197" t="s">
        <v>57</v>
      </c>
      <c r="B22" s="36">
        <f t="shared" ref="B22:H27" si="23">B60+B186+B226+B259</f>
        <v>11</v>
      </c>
      <c r="C22" s="37">
        <f t="shared" si="23"/>
        <v>12</v>
      </c>
      <c r="D22" s="37">
        <f t="shared" si="23"/>
        <v>9</v>
      </c>
      <c r="E22" s="37">
        <f t="shared" si="23"/>
        <v>2</v>
      </c>
      <c r="F22" s="37">
        <f t="shared" si="23"/>
        <v>13</v>
      </c>
      <c r="G22" s="37">
        <f t="shared" si="23"/>
        <v>0</v>
      </c>
      <c r="H22" s="37">
        <f t="shared" si="23"/>
        <v>2</v>
      </c>
      <c r="I22" s="37">
        <f t="shared" ref="I22" si="24">I60+I186+I226+I259</f>
        <v>6</v>
      </c>
      <c r="J22" s="38"/>
    </row>
    <row r="23" spans="1:10" ht="15" customHeight="1" x14ac:dyDescent="0.25">
      <c r="A23" s="43" t="s">
        <v>58</v>
      </c>
      <c r="B23" s="9">
        <f t="shared" si="23"/>
        <v>13</v>
      </c>
      <c r="C23" s="10">
        <f t="shared" si="23"/>
        <v>3</v>
      </c>
      <c r="D23" s="10">
        <f t="shared" si="23"/>
        <v>2</v>
      </c>
      <c r="E23" s="10">
        <f t="shared" si="23"/>
        <v>2</v>
      </c>
      <c r="F23" s="10">
        <f t="shared" si="23"/>
        <v>11</v>
      </c>
      <c r="G23" s="10">
        <f t="shared" si="23"/>
        <v>0</v>
      </c>
      <c r="H23" s="10">
        <f t="shared" si="23"/>
        <v>2</v>
      </c>
      <c r="I23" s="10">
        <f t="shared" ref="I23" si="25">I61+I187+I227+I260</f>
        <v>6</v>
      </c>
      <c r="J23" s="11">
        <f>J61+J187+J227+J260</f>
        <v>2</v>
      </c>
    </row>
    <row r="24" spans="1:10" ht="15" customHeight="1" x14ac:dyDescent="0.25">
      <c r="A24" s="43" t="s">
        <v>59</v>
      </c>
      <c r="B24" s="9">
        <f t="shared" si="23"/>
        <v>2</v>
      </c>
      <c r="C24" s="10">
        <f t="shared" si="23"/>
        <v>4</v>
      </c>
      <c r="D24" s="10">
        <f t="shared" si="23"/>
        <v>8</v>
      </c>
      <c r="E24" s="10">
        <f t="shared" si="23"/>
        <v>1</v>
      </c>
      <c r="F24" s="10">
        <f t="shared" si="23"/>
        <v>2</v>
      </c>
      <c r="G24" s="10">
        <f t="shared" si="23"/>
        <v>8</v>
      </c>
      <c r="H24" s="10">
        <f t="shared" si="23"/>
        <v>0</v>
      </c>
      <c r="I24" s="10">
        <f t="shared" ref="I24" si="26">I62+I188+I228+I261</f>
        <v>3</v>
      </c>
      <c r="J24" s="11"/>
    </row>
    <row r="25" spans="1:10" ht="15" customHeight="1" x14ac:dyDescent="0.25">
      <c r="A25" s="43" t="s">
        <v>60</v>
      </c>
      <c r="B25" s="9">
        <f t="shared" si="23"/>
        <v>13</v>
      </c>
      <c r="C25" s="10">
        <f t="shared" si="23"/>
        <v>11</v>
      </c>
      <c r="D25" s="10">
        <f t="shared" si="23"/>
        <v>11</v>
      </c>
      <c r="E25" s="10">
        <f t="shared" si="23"/>
        <v>-1</v>
      </c>
      <c r="F25" s="10">
        <f t="shared" si="23"/>
        <v>3</v>
      </c>
      <c r="G25" s="10">
        <f t="shared" si="23"/>
        <v>11</v>
      </c>
      <c r="H25" s="10">
        <f t="shared" si="23"/>
        <v>0</v>
      </c>
      <c r="I25" s="10">
        <f t="shared" ref="I25" si="27">I63+I189+I229+I262</f>
        <v>10</v>
      </c>
      <c r="J25" s="11">
        <f>J63+J189+J229+J262</f>
        <v>0</v>
      </c>
    </row>
    <row r="26" spans="1:10" ht="15" customHeight="1" x14ac:dyDescent="0.25">
      <c r="A26" s="43" t="s">
        <v>61</v>
      </c>
      <c r="B26" s="9">
        <f t="shared" si="23"/>
        <v>11</v>
      </c>
      <c r="C26" s="10">
        <f t="shared" si="23"/>
        <v>3</v>
      </c>
      <c r="D26" s="10">
        <f t="shared" si="23"/>
        <v>2</v>
      </c>
      <c r="E26" s="10">
        <f t="shared" si="23"/>
        <v>2</v>
      </c>
      <c r="F26" s="10">
        <f t="shared" si="23"/>
        <v>11</v>
      </c>
      <c r="G26" s="10">
        <f t="shared" si="23"/>
        <v>0</v>
      </c>
      <c r="H26" s="10">
        <f t="shared" si="23"/>
        <v>2</v>
      </c>
      <c r="I26" s="10">
        <f t="shared" ref="I26" si="28">I64+I190+I230+I263</f>
        <v>-1</v>
      </c>
      <c r="J26" s="11"/>
    </row>
    <row r="27" spans="1:10" ht="15" customHeight="1" x14ac:dyDescent="0.25">
      <c r="A27" s="43" t="s">
        <v>62</v>
      </c>
      <c r="B27" s="9">
        <f t="shared" si="23"/>
        <v>2</v>
      </c>
      <c r="C27" s="10">
        <f t="shared" si="23"/>
        <v>11</v>
      </c>
      <c r="D27" s="10">
        <f t="shared" si="23"/>
        <v>10</v>
      </c>
      <c r="E27" s="10">
        <f t="shared" si="23"/>
        <v>1</v>
      </c>
      <c r="F27" s="10">
        <f t="shared" si="23"/>
        <v>2</v>
      </c>
      <c r="G27" s="10">
        <f t="shared" si="23"/>
        <v>8</v>
      </c>
      <c r="H27" s="10">
        <f t="shared" si="23"/>
        <v>0</v>
      </c>
      <c r="I27" s="10">
        <f t="shared" ref="I27" si="29">I65+I191+I231+I264</f>
        <v>10</v>
      </c>
      <c r="J27" s="11"/>
    </row>
    <row r="28" spans="1:10" ht="15" customHeight="1" x14ac:dyDescent="0.25">
      <c r="A28" s="39" t="s">
        <v>23</v>
      </c>
      <c r="B28" s="9">
        <f t="shared" ref="B28:J28" si="30">B66+B192+B232+B265+B279</f>
        <v>3</v>
      </c>
      <c r="C28" s="10">
        <f t="shared" si="30"/>
        <v>2</v>
      </c>
      <c r="D28" s="10">
        <f t="shared" si="30"/>
        <v>1</v>
      </c>
      <c r="E28" s="10">
        <f t="shared" si="30"/>
        <v>10</v>
      </c>
      <c r="F28" s="10">
        <f t="shared" si="30"/>
        <v>10</v>
      </c>
      <c r="G28" s="10">
        <f t="shared" si="30"/>
        <v>11</v>
      </c>
      <c r="H28" s="10">
        <f t="shared" si="30"/>
        <v>9</v>
      </c>
      <c r="I28" s="10">
        <f t="shared" ref="I28" si="31">I66+I192+I232+I265+I279</f>
        <v>13</v>
      </c>
      <c r="J28" s="11">
        <f t="shared" si="30"/>
        <v>11</v>
      </c>
    </row>
    <row r="29" spans="1:10" ht="15" customHeight="1" x14ac:dyDescent="0.25">
      <c r="A29" s="57" t="s">
        <v>24</v>
      </c>
      <c r="B29" s="9">
        <f t="shared" ref="B29:J29" si="32">B67+B193+B233+B266</f>
        <v>11</v>
      </c>
      <c r="C29" s="10">
        <f t="shared" si="32"/>
        <v>10</v>
      </c>
      <c r="D29" s="10">
        <f t="shared" si="32"/>
        <v>2</v>
      </c>
      <c r="E29" s="10">
        <f t="shared" si="32"/>
        <v>9</v>
      </c>
      <c r="F29" s="10">
        <f t="shared" si="32"/>
        <v>11</v>
      </c>
      <c r="G29" s="10">
        <f t="shared" si="32"/>
        <v>7</v>
      </c>
      <c r="H29" s="10">
        <f t="shared" si="32"/>
        <v>9</v>
      </c>
      <c r="I29" s="10">
        <f t="shared" ref="I29" si="33">I67+I193+I233+I266</f>
        <v>6</v>
      </c>
      <c r="J29" s="11">
        <f t="shared" si="32"/>
        <v>2</v>
      </c>
    </row>
    <row r="30" spans="1:10" ht="15" customHeight="1" thickBot="1" x14ac:dyDescent="0.3">
      <c r="A30" s="198" t="s">
        <v>63</v>
      </c>
      <c r="B30" s="20">
        <f t="shared" ref="B30:J30" si="34">B68+B194+B234+B267+B280</f>
        <v>3</v>
      </c>
      <c r="C30" s="18">
        <f t="shared" si="34"/>
        <v>2</v>
      </c>
      <c r="D30" s="18">
        <f t="shared" si="34"/>
        <v>2</v>
      </c>
      <c r="E30" s="18">
        <f t="shared" si="34"/>
        <v>10</v>
      </c>
      <c r="F30" s="18">
        <f t="shared" si="34"/>
        <v>3</v>
      </c>
      <c r="G30" s="18">
        <f t="shared" si="34"/>
        <v>11</v>
      </c>
      <c r="H30" s="18">
        <f t="shared" si="34"/>
        <v>2</v>
      </c>
      <c r="I30" s="18">
        <f t="shared" ref="I30" si="35">I68+I194+I234+I267+I280</f>
        <v>11</v>
      </c>
      <c r="J30" s="19">
        <f t="shared" si="34"/>
        <v>4</v>
      </c>
    </row>
    <row r="31" spans="1:10" ht="7.5" hidden="1" customHeight="1" outlineLevel="1" collapsed="1" thickBot="1" x14ac:dyDescent="0.3">
      <c r="A31" s="34"/>
    </row>
    <row r="32" spans="1:10" ht="15.75" hidden="1" customHeight="1" outlineLevel="1" x14ac:dyDescent="0.25">
      <c r="A32" s="58" t="s">
        <v>75</v>
      </c>
      <c r="B32" s="36">
        <f t="shared" ref="B32:H35" si="36">B202+B235+B268</f>
        <v>7</v>
      </c>
      <c r="C32" s="37">
        <f t="shared" si="36"/>
        <v>0</v>
      </c>
      <c r="D32" s="37">
        <f t="shared" si="36"/>
        <v>7</v>
      </c>
      <c r="E32" s="37">
        <f t="shared" si="36"/>
        <v>7</v>
      </c>
      <c r="F32" s="37">
        <f t="shared" si="36"/>
        <v>0</v>
      </c>
      <c r="G32" s="37">
        <f t="shared" si="36"/>
        <v>7</v>
      </c>
      <c r="H32" s="37">
        <f t="shared" si="36"/>
        <v>7</v>
      </c>
      <c r="I32" s="37">
        <f t="shared" ref="I32" si="37">I202+I235+I268</f>
        <v>7</v>
      </c>
      <c r="J32" s="37"/>
    </row>
    <row r="33" spans="1:11" ht="15.75" hidden="1" customHeight="1" outlineLevel="1" x14ac:dyDescent="0.25">
      <c r="A33" s="59" t="s">
        <v>78</v>
      </c>
      <c r="B33" s="9">
        <f t="shared" si="36"/>
        <v>7</v>
      </c>
      <c r="C33" s="10">
        <f t="shared" si="36"/>
        <v>0</v>
      </c>
      <c r="D33" s="10">
        <f t="shared" si="36"/>
        <v>0</v>
      </c>
      <c r="E33" s="10">
        <f t="shared" si="36"/>
        <v>7</v>
      </c>
      <c r="F33" s="10">
        <f t="shared" si="36"/>
        <v>0</v>
      </c>
      <c r="G33" s="10">
        <f t="shared" si="36"/>
        <v>0</v>
      </c>
      <c r="H33" s="10">
        <f t="shared" si="36"/>
        <v>7</v>
      </c>
      <c r="I33" s="10">
        <f t="shared" ref="I33" si="38">I203+I236+I269</f>
        <v>0</v>
      </c>
      <c r="J33" s="10"/>
    </row>
    <row r="34" spans="1:11" ht="15.75" hidden="1" customHeight="1" outlineLevel="1" x14ac:dyDescent="0.25">
      <c r="A34" s="59" t="s">
        <v>76</v>
      </c>
      <c r="B34" s="9">
        <f t="shared" si="36"/>
        <v>0</v>
      </c>
      <c r="C34" s="10">
        <f t="shared" si="36"/>
        <v>0</v>
      </c>
      <c r="D34" s="10">
        <f t="shared" si="36"/>
        <v>0</v>
      </c>
      <c r="E34" s="10">
        <f t="shared" si="36"/>
        <v>0</v>
      </c>
      <c r="F34" s="10">
        <f t="shared" si="36"/>
        <v>0</v>
      </c>
      <c r="G34" s="10">
        <f t="shared" si="36"/>
        <v>0</v>
      </c>
      <c r="H34" s="10">
        <f t="shared" si="36"/>
        <v>7</v>
      </c>
      <c r="I34" s="10">
        <f t="shared" ref="I34" si="39">I204+I237+I270</f>
        <v>0</v>
      </c>
      <c r="J34" s="10"/>
    </row>
    <row r="35" spans="1:11" ht="15.75" hidden="1" customHeight="1" outlineLevel="1" thickBot="1" x14ac:dyDescent="0.3">
      <c r="A35" s="60" t="s">
        <v>77</v>
      </c>
      <c r="B35" s="20">
        <f t="shared" si="36"/>
        <v>7</v>
      </c>
      <c r="C35" s="18">
        <f t="shared" si="36"/>
        <v>7</v>
      </c>
      <c r="D35" s="18">
        <f t="shared" si="36"/>
        <v>7</v>
      </c>
      <c r="E35" s="18">
        <f t="shared" si="36"/>
        <v>7</v>
      </c>
      <c r="F35" s="18">
        <f t="shared" si="36"/>
        <v>7</v>
      </c>
      <c r="G35" s="18">
        <f t="shared" si="36"/>
        <v>7</v>
      </c>
      <c r="H35" s="18">
        <f t="shared" si="36"/>
        <v>7</v>
      </c>
      <c r="I35" s="18">
        <f t="shared" ref="I35" si="40">I205+I238+I271</f>
        <v>7</v>
      </c>
      <c r="J35" s="18">
        <f>J205+J238+J271</f>
        <v>7</v>
      </c>
    </row>
    <row r="36" spans="1:11" ht="7.5" customHeight="1" collapsed="1" thickBot="1" x14ac:dyDescent="0.3">
      <c r="A36" s="34"/>
    </row>
    <row r="37" spans="1:11" ht="15.75" customHeight="1" thickBot="1" x14ac:dyDescent="0.3">
      <c r="A37" s="61" t="s">
        <v>84</v>
      </c>
      <c r="B37" s="189">
        <f t="shared" ref="B37:J37" si="41">10+B70+B206+B239+B272</f>
        <v>14</v>
      </c>
      <c r="C37" s="190">
        <f t="shared" si="41"/>
        <v>14</v>
      </c>
      <c r="D37" s="190">
        <f t="shared" si="41"/>
        <v>14</v>
      </c>
      <c r="E37" s="1315">
        <f>10+E70+E206+E239+E272</f>
        <v>21</v>
      </c>
      <c r="F37" s="190">
        <f t="shared" si="41"/>
        <v>14</v>
      </c>
      <c r="G37" s="190">
        <f t="shared" si="41"/>
        <v>21</v>
      </c>
      <c r="H37" s="1315">
        <f t="shared" si="41"/>
        <v>21</v>
      </c>
      <c r="I37" s="1315">
        <f t="shared" ref="I37" si="42">10+I70+I206+I239+I272</f>
        <v>21</v>
      </c>
      <c r="J37" s="191">
        <f t="shared" si="41"/>
        <v>13</v>
      </c>
    </row>
    <row r="38" spans="1:11" ht="15.75" customHeight="1" x14ac:dyDescent="0.25">
      <c r="A38" s="58" t="s">
        <v>70</v>
      </c>
      <c r="B38" s="36">
        <f>B70+B207+B240+B273</f>
        <v>11</v>
      </c>
      <c r="C38" s="37">
        <f>C70+C207+C240+C273</f>
        <v>11</v>
      </c>
      <c r="D38" s="37">
        <f>D70+D207+D240+D273</f>
        <v>11</v>
      </c>
      <c r="E38" s="37"/>
      <c r="F38" s="37">
        <f>F70+F207+F240+F273</f>
        <v>11</v>
      </c>
      <c r="G38" s="37">
        <f>G70+G207+G240+G273</f>
        <v>11</v>
      </c>
      <c r="H38" s="37"/>
      <c r="I38" s="37"/>
      <c r="J38" s="38"/>
    </row>
    <row r="39" spans="1:11" ht="15.75" customHeight="1" thickBot="1" x14ac:dyDescent="0.3">
      <c r="A39" s="60" t="s">
        <v>71</v>
      </c>
      <c r="B39" s="1313">
        <f>10+B70+B208+B241+B274</f>
        <v>21</v>
      </c>
      <c r="C39" s="1314">
        <f>10+C70+C208+C241+C274</f>
        <v>21</v>
      </c>
      <c r="D39" s="1314">
        <f>10+D70+D208+D241+D274</f>
        <v>21</v>
      </c>
      <c r="E39" s="18"/>
      <c r="F39" s="1314">
        <f>10+F70+F208+F241+F274</f>
        <v>21</v>
      </c>
      <c r="G39" s="1314">
        <f>10+G70+G208+G241+G274</f>
        <v>21</v>
      </c>
      <c r="H39" s="18"/>
      <c r="I39" s="18"/>
      <c r="J39" s="19"/>
    </row>
    <row r="40" spans="1:11" ht="15.75" customHeight="1" thickBot="1" x14ac:dyDescent="0.3">
      <c r="A40" s="34"/>
    </row>
    <row r="41" spans="1:11" ht="15.75" hidden="1" customHeight="1" outlineLevel="1" thickBot="1" x14ac:dyDescent="0.3">
      <c r="A41" s="62" t="s">
        <v>79</v>
      </c>
      <c r="B41" s="28" t="str">
        <f>B$1</f>
        <v>Tip</v>
      </c>
      <c r="C41" s="29" t="str">
        <f t="shared" ref="C41:J41" si="43">C$1</f>
        <v>Zabrarallongex</v>
      </c>
      <c r="D41" s="29" t="str">
        <f t="shared" si="43"/>
        <v>Belica</v>
      </c>
      <c r="E41" s="29" t="str">
        <f t="shared" si="43"/>
        <v>Eddruk</v>
      </c>
      <c r="F41" s="29" t="str">
        <f t="shared" si="43"/>
        <v>Thalion</v>
      </c>
      <c r="G41" s="29" t="str">
        <f t="shared" si="43"/>
        <v>Osharys</v>
      </c>
      <c r="H41" s="29" t="str">
        <f t="shared" si="43"/>
        <v>Ithiel Theodrek</v>
      </c>
      <c r="I41" s="29" t="str">
        <f t="shared" si="43"/>
        <v>Garuk</v>
      </c>
      <c r="J41" s="30" t="str">
        <f t="shared" si="43"/>
        <v>Top</v>
      </c>
    </row>
    <row r="42" spans="1:11" ht="15.75" hidden="1" customHeight="1" outlineLevel="1" x14ac:dyDescent="0.25">
      <c r="A42" s="63" t="s">
        <v>22</v>
      </c>
      <c r="B42" s="12">
        <f>Stats!B$15</f>
        <v>4</v>
      </c>
      <c r="C42" s="10">
        <f>Stats!C$15</f>
        <v>3</v>
      </c>
      <c r="D42" s="10">
        <f>Stats!D$15</f>
        <v>2</v>
      </c>
      <c r="E42" s="10">
        <f>Stats!E$15</f>
        <v>2</v>
      </c>
      <c r="F42" s="10">
        <f>Stats!F$15</f>
        <v>4</v>
      </c>
      <c r="G42" s="10">
        <f>Stats!G$15</f>
        <v>0</v>
      </c>
      <c r="H42" s="10">
        <f>Stats!H$15</f>
        <v>2</v>
      </c>
      <c r="I42" s="10">
        <f>Stats!I$15</f>
        <v>-1</v>
      </c>
      <c r="J42" s="10">
        <f>Stats!J$15</f>
        <v>2</v>
      </c>
      <c r="K42" s="64"/>
    </row>
    <row r="43" spans="1:11" ht="15.75" hidden="1" customHeight="1" outlineLevel="1" x14ac:dyDescent="0.25">
      <c r="A43" s="65" t="s">
        <v>79</v>
      </c>
      <c r="B43" s="13" t="s">
        <v>13</v>
      </c>
      <c r="C43" s="13" t="s">
        <v>13</v>
      </c>
      <c r="D43" s="13"/>
      <c r="E43" s="13" t="s">
        <v>13</v>
      </c>
      <c r="F43" s="13" t="s">
        <v>13</v>
      </c>
      <c r="G43" s="13" t="s">
        <v>13</v>
      </c>
      <c r="H43" s="13" t="s">
        <v>13</v>
      </c>
      <c r="I43" s="13" t="s">
        <v>13</v>
      </c>
      <c r="J43" s="13" t="s">
        <v>13</v>
      </c>
      <c r="K43" s="64"/>
    </row>
    <row r="44" spans="1:11" ht="7.5" hidden="1" customHeight="1" outlineLevel="1" x14ac:dyDescent="0.25">
      <c r="A44" s="34"/>
    </row>
    <row r="45" spans="1:11" ht="15.75" hidden="1" customHeight="1" outlineLevel="1" x14ac:dyDescent="0.25">
      <c r="A45" s="66" t="s">
        <v>64</v>
      </c>
      <c r="B45" s="10">
        <f>Stats!B$13</f>
        <v>0</v>
      </c>
      <c r="C45" s="10">
        <f>Stats!C$13</f>
        <v>1</v>
      </c>
      <c r="D45" s="10">
        <f>Stats!D$13</f>
        <v>2</v>
      </c>
      <c r="E45" s="10">
        <f>Stats!E$13</f>
        <v>3</v>
      </c>
      <c r="F45" s="10">
        <f>Stats!F$13</f>
        <v>0</v>
      </c>
      <c r="G45" s="10">
        <f>Stats!G$13</f>
        <v>1</v>
      </c>
      <c r="H45" s="10">
        <f>Stats!H$13</f>
        <v>4</v>
      </c>
      <c r="I45" s="10">
        <f>Stats!I$13</f>
        <v>3</v>
      </c>
      <c r="J45" s="10">
        <f>Stats!J$13</f>
        <v>3</v>
      </c>
      <c r="K45" s="64" t="s">
        <v>8</v>
      </c>
    </row>
    <row r="46" spans="1:11" ht="15.75" hidden="1" customHeight="1" outlineLevel="1" x14ac:dyDescent="0.25">
      <c r="A46" s="66" t="s">
        <v>65</v>
      </c>
      <c r="B46" s="10">
        <f>Stats!B$12</f>
        <v>3</v>
      </c>
      <c r="C46" s="10">
        <f>Stats!C$12</f>
        <v>2</v>
      </c>
      <c r="D46" s="10">
        <f>Stats!D$12</f>
        <v>2</v>
      </c>
      <c r="E46" s="10">
        <f>Stats!E$12</f>
        <v>3</v>
      </c>
      <c r="F46" s="10">
        <f>Stats!F$12</f>
        <v>3</v>
      </c>
      <c r="G46" s="10">
        <f>Stats!G$12</f>
        <v>4</v>
      </c>
      <c r="H46" s="10">
        <f>Stats!H$12</f>
        <v>2</v>
      </c>
      <c r="I46" s="10">
        <f>Stats!I$12</f>
        <v>4</v>
      </c>
      <c r="J46" s="10">
        <f>Stats!J$12</f>
        <v>4</v>
      </c>
      <c r="K46" s="64" t="s">
        <v>11</v>
      </c>
    </row>
    <row r="47" spans="1:11" ht="15.75" hidden="1" customHeight="1" outlineLevel="1" x14ac:dyDescent="0.25">
      <c r="A47" s="67" t="s">
        <v>66</v>
      </c>
      <c r="B47" s="10">
        <f>Stats!B$15</f>
        <v>4</v>
      </c>
      <c r="C47" s="10">
        <f>Stats!C$15</f>
        <v>3</v>
      </c>
      <c r="D47" s="10">
        <f>Stats!D$15</f>
        <v>2</v>
      </c>
      <c r="E47" s="10">
        <f>Stats!E$15</f>
        <v>2</v>
      </c>
      <c r="F47" s="10">
        <f>Stats!F$15</f>
        <v>4</v>
      </c>
      <c r="G47" s="10">
        <f>Stats!G$15</f>
        <v>0</v>
      </c>
      <c r="H47" s="10">
        <f>Stats!H$15</f>
        <v>2</v>
      </c>
      <c r="I47" s="10">
        <f>Stats!I$15</f>
        <v>-1</v>
      </c>
      <c r="J47" s="10">
        <f>Stats!J$15</f>
        <v>2</v>
      </c>
      <c r="K47" s="64" t="s">
        <v>13</v>
      </c>
    </row>
    <row r="48" spans="1:11" ht="7.5" hidden="1" customHeight="1" outlineLevel="1" collapsed="1" thickBot="1" x14ac:dyDescent="0.3">
      <c r="A48" s="34"/>
    </row>
    <row r="49" spans="1:11" ht="15.75" hidden="1" customHeight="1" outlineLevel="1" x14ac:dyDescent="0.25">
      <c r="A49" s="68" t="s">
        <v>20</v>
      </c>
      <c r="B49" s="10">
        <f>Stats!B$12</f>
        <v>3</v>
      </c>
      <c r="C49" s="10">
        <f>Stats!C$12</f>
        <v>2</v>
      </c>
      <c r="D49" s="10">
        <f>Stats!D$12</f>
        <v>2</v>
      </c>
      <c r="E49" s="10">
        <f>Stats!E$12</f>
        <v>3</v>
      </c>
      <c r="F49" s="10">
        <f>Stats!F$12</f>
        <v>3</v>
      </c>
      <c r="G49" s="10">
        <f>Stats!G$12</f>
        <v>4</v>
      </c>
      <c r="H49" s="10">
        <f>Stats!H$12</f>
        <v>2</v>
      </c>
      <c r="I49" s="10">
        <f>Stats!I$12</f>
        <v>4</v>
      </c>
      <c r="J49" s="10">
        <f>Stats!J$12</f>
        <v>4</v>
      </c>
      <c r="K49" s="64" t="s">
        <v>11</v>
      </c>
    </row>
    <row r="50" spans="1:11" ht="15.75" hidden="1" customHeight="1" outlineLevel="1" x14ac:dyDescent="0.25">
      <c r="A50" s="69" t="s">
        <v>51</v>
      </c>
      <c r="B50" s="10">
        <f>Stats!B$14</f>
        <v>2</v>
      </c>
      <c r="C50" s="10">
        <f>Stats!C$14</f>
        <v>4</v>
      </c>
      <c r="D50" s="10">
        <f>Stats!D$14</f>
        <v>1</v>
      </c>
      <c r="E50" s="10">
        <f>Stats!E$14</f>
        <v>1</v>
      </c>
      <c r="F50" s="10">
        <f>Stats!F$14</f>
        <v>2</v>
      </c>
      <c r="G50" s="10">
        <f>Stats!G$14</f>
        <v>1</v>
      </c>
      <c r="H50" s="10">
        <f>Stats!H$14</f>
        <v>0</v>
      </c>
      <c r="I50" s="10">
        <f>Stats!I$14</f>
        <v>3</v>
      </c>
      <c r="J50" s="10">
        <f>Stats!J$14</f>
        <v>-4</v>
      </c>
      <c r="K50" s="64" t="s">
        <v>12</v>
      </c>
    </row>
    <row r="51" spans="1:11" ht="15.75" hidden="1" customHeight="1" outlineLevel="1" x14ac:dyDescent="0.25">
      <c r="A51" s="69" t="s">
        <v>52</v>
      </c>
      <c r="B51" s="10">
        <f>Stats!B$11</f>
        <v>0</v>
      </c>
      <c r="C51" s="10">
        <f>Stats!C$11</f>
        <v>0</v>
      </c>
      <c r="D51" s="10">
        <f>Stats!D$11</f>
        <v>2</v>
      </c>
      <c r="E51" s="10">
        <f>Stats!E$11</f>
        <v>4</v>
      </c>
      <c r="F51" s="10">
        <f>Stats!F$11</f>
        <v>0</v>
      </c>
      <c r="G51" s="10">
        <f>Stats!G$11</f>
        <v>2</v>
      </c>
      <c r="H51" s="10">
        <f>Stats!H$11</f>
        <v>4</v>
      </c>
      <c r="I51" s="10">
        <f>Stats!I$11</f>
        <v>0</v>
      </c>
      <c r="J51" s="10">
        <f>Stats!J$11</f>
        <v>3</v>
      </c>
      <c r="K51" s="64" t="s">
        <v>10</v>
      </c>
    </row>
    <row r="52" spans="1:11" ht="15.75" hidden="1" customHeight="1" outlineLevel="1" x14ac:dyDescent="0.25">
      <c r="A52" s="69" t="s">
        <v>53</v>
      </c>
      <c r="B52" s="10">
        <f>Stats!B$14</f>
        <v>2</v>
      </c>
      <c r="C52" s="10">
        <f>Stats!C$14</f>
        <v>4</v>
      </c>
      <c r="D52" s="10">
        <f>Stats!D$14</f>
        <v>1</v>
      </c>
      <c r="E52" s="10">
        <f>Stats!E$14</f>
        <v>1</v>
      </c>
      <c r="F52" s="10">
        <f>Stats!F$14</f>
        <v>2</v>
      </c>
      <c r="G52" s="10">
        <f>Stats!G$14</f>
        <v>1</v>
      </c>
      <c r="H52" s="10">
        <f>Stats!H$14</f>
        <v>0</v>
      </c>
      <c r="I52" s="10">
        <f>Stats!I$14</f>
        <v>3</v>
      </c>
      <c r="J52" s="10">
        <f>Stats!J$14</f>
        <v>-4</v>
      </c>
      <c r="K52" s="64" t="s">
        <v>12</v>
      </c>
    </row>
    <row r="53" spans="1:11" ht="15.75" hidden="1" customHeight="1" outlineLevel="1" x14ac:dyDescent="0.25">
      <c r="A53" s="69" t="s">
        <v>54</v>
      </c>
      <c r="B53" s="10">
        <f>Stats!B$16</f>
        <v>4</v>
      </c>
      <c r="C53" s="10">
        <f>Stats!C$16</f>
        <v>2</v>
      </c>
      <c r="D53" s="10">
        <f>Stats!D$16</f>
        <v>4</v>
      </c>
      <c r="E53" s="10">
        <f>Stats!E$16</f>
        <v>-1</v>
      </c>
      <c r="F53" s="10">
        <f>Stats!F$16</f>
        <v>3</v>
      </c>
      <c r="G53" s="10">
        <f>Stats!G$16</f>
        <v>4</v>
      </c>
      <c r="H53" s="10">
        <f>Stats!H$16</f>
        <v>0</v>
      </c>
      <c r="I53" s="10">
        <f>Stats!I$16</f>
        <v>3</v>
      </c>
      <c r="J53" s="10">
        <f>Stats!J$16</f>
        <v>0</v>
      </c>
      <c r="K53" s="64" t="s">
        <v>14</v>
      </c>
    </row>
    <row r="54" spans="1:11" ht="15.75" hidden="1" customHeight="1" outlineLevel="1" x14ac:dyDescent="0.25">
      <c r="A54" s="66" t="s">
        <v>21</v>
      </c>
      <c r="B54" s="10">
        <f>Stats!B$16</f>
        <v>4</v>
      </c>
      <c r="C54" s="10">
        <f>Stats!C$16</f>
        <v>2</v>
      </c>
      <c r="D54" s="10">
        <f>Stats!D$16</f>
        <v>4</v>
      </c>
      <c r="E54" s="10">
        <f>Stats!E$16</f>
        <v>-1</v>
      </c>
      <c r="F54" s="10">
        <f>Stats!F$16</f>
        <v>3</v>
      </c>
      <c r="G54" s="10">
        <f>Stats!G$16</f>
        <v>4</v>
      </c>
      <c r="H54" s="10">
        <f>Stats!H$16</f>
        <v>0</v>
      </c>
      <c r="I54" s="10">
        <f>Stats!I$16</f>
        <v>3</v>
      </c>
      <c r="J54" s="10">
        <f>Stats!J$16</f>
        <v>0</v>
      </c>
      <c r="K54" s="64" t="s">
        <v>14</v>
      </c>
    </row>
    <row r="55" spans="1:11" ht="15.75" hidden="1" customHeight="1" outlineLevel="1" x14ac:dyDescent="0.25">
      <c r="A55" s="69" t="s">
        <v>55</v>
      </c>
      <c r="B55" s="10">
        <f>Stats!B$16</f>
        <v>4</v>
      </c>
      <c r="C55" s="10">
        <f>Stats!C$16</f>
        <v>2</v>
      </c>
      <c r="D55" s="10">
        <f>Stats!D$16</f>
        <v>4</v>
      </c>
      <c r="E55" s="10">
        <f>Stats!E$16</f>
        <v>-1</v>
      </c>
      <c r="F55" s="10">
        <f>Stats!F$16</f>
        <v>3</v>
      </c>
      <c r="G55" s="10">
        <f>Stats!G$16</f>
        <v>4</v>
      </c>
      <c r="H55" s="10">
        <f>Stats!H$16</f>
        <v>0</v>
      </c>
      <c r="I55" s="10">
        <f>Stats!I$16</f>
        <v>3</v>
      </c>
      <c r="J55" s="10">
        <f>Stats!J$16</f>
        <v>0</v>
      </c>
      <c r="K55" s="64" t="s">
        <v>14</v>
      </c>
    </row>
    <row r="56" spans="1:11" ht="15.75" hidden="1" customHeight="1" outlineLevel="1" x14ac:dyDescent="0.25">
      <c r="A56" s="69" t="s">
        <v>56</v>
      </c>
      <c r="B56" s="10">
        <f>Stats!B$14</f>
        <v>2</v>
      </c>
      <c r="C56" s="10">
        <f>Stats!C$14</f>
        <v>4</v>
      </c>
      <c r="D56" s="10">
        <f>Stats!D$14</f>
        <v>1</v>
      </c>
      <c r="E56" s="10">
        <f>Stats!E$14</f>
        <v>1</v>
      </c>
      <c r="F56" s="10">
        <f>Stats!F$14</f>
        <v>2</v>
      </c>
      <c r="G56" s="10">
        <f>Stats!G$14</f>
        <v>1</v>
      </c>
      <c r="H56" s="10">
        <f>Stats!H$14</f>
        <v>0</v>
      </c>
      <c r="I56" s="10">
        <f>Stats!I$14</f>
        <v>3</v>
      </c>
      <c r="J56" s="10">
        <f>Stats!J$14</f>
        <v>-4</v>
      </c>
      <c r="K56" s="64" t="s">
        <v>12</v>
      </c>
    </row>
    <row r="57" spans="1:11" ht="15.75" hidden="1" customHeight="1" outlineLevel="1" x14ac:dyDescent="0.25">
      <c r="A57" s="69" t="s">
        <v>67</v>
      </c>
      <c r="B57" s="10">
        <f>Stats!B$14</f>
        <v>2</v>
      </c>
      <c r="C57" s="10">
        <f>Stats!C$14</f>
        <v>4</v>
      </c>
      <c r="D57" s="10">
        <f>Stats!D$14</f>
        <v>1</v>
      </c>
      <c r="E57" s="10">
        <f>Stats!E$14</f>
        <v>1</v>
      </c>
      <c r="F57" s="10">
        <f>Stats!F$14</f>
        <v>2</v>
      </c>
      <c r="G57" s="10">
        <f>Stats!G$14</f>
        <v>1</v>
      </c>
      <c r="H57" s="10">
        <f>Stats!H$14</f>
        <v>0</v>
      </c>
      <c r="I57" s="10">
        <f>Stats!I$14</f>
        <v>3</v>
      </c>
      <c r="J57" s="10">
        <f>Stats!J$14</f>
        <v>-4</v>
      </c>
      <c r="K57" s="64" t="s">
        <v>12</v>
      </c>
    </row>
    <row r="58" spans="1:11" ht="15.75" hidden="1" customHeight="1" outlineLevel="1" x14ac:dyDescent="0.25">
      <c r="A58" s="69" t="s">
        <v>68</v>
      </c>
      <c r="B58" s="10">
        <f>Stats!B$14</f>
        <v>2</v>
      </c>
      <c r="C58" s="10">
        <f>Stats!C$14</f>
        <v>4</v>
      </c>
      <c r="D58" s="10">
        <f>Stats!D$14</f>
        <v>1</v>
      </c>
      <c r="E58" s="10">
        <f>Stats!E$14</f>
        <v>1</v>
      </c>
      <c r="F58" s="10">
        <f>Stats!F$14</f>
        <v>2</v>
      </c>
      <c r="G58" s="10">
        <f>Stats!G$14</f>
        <v>1</v>
      </c>
      <c r="H58" s="10">
        <f>Stats!H$14</f>
        <v>0</v>
      </c>
      <c r="I58" s="10">
        <f>Stats!I$14</f>
        <v>3</v>
      </c>
      <c r="J58" s="10">
        <f>Stats!J$14</f>
        <v>-4</v>
      </c>
      <c r="K58" s="64" t="s">
        <v>12</v>
      </c>
    </row>
    <row r="59" spans="1:11" ht="15.75" hidden="1" customHeight="1" outlineLevel="1" x14ac:dyDescent="0.25">
      <c r="A59" s="69" t="s">
        <v>69</v>
      </c>
      <c r="B59" s="10">
        <f>Stats!B$14</f>
        <v>2</v>
      </c>
      <c r="C59" s="10">
        <f>Stats!C$14</f>
        <v>4</v>
      </c>
      <c r="D59" s="10">
        <f>Stats!D$14</f>
        <v>1</v>
      </c>
      <c r="E59" s="10">
        <f>Stats!E$14</f>
        <v>1</v>
      </c>
      <c r="F59" s="10">
        <f>Stats!F$14</f>
        <v>2</v>
      </c>
      <c r="G59" s="10">
        <f>Stats!G$14</f>
        <v>1</v>
      </c>
      <c r="H59" s="10">
        <f>Stats!H$14</f>
        <v>0</v>
      </c>
      <c r="I59" s="10">
        <f>Stats!I$14</f>
        <v>3</v>
      </c>
      <c r="J59" s="10">
        <f>Stats!J$14</f>
        <v>-4</v>
      </c>
      <c r="K59" s="64" t="s">
        <v>12</v>
      </c>
    </row>
    <row r="60" spans="1:11" ht="15.75" hidden="1" customHeight="1" outlineLevel="1" x14ac:dyDescent="0.25">
      <c r="A60" s="69" t="s">
        <v>57</v>
      </c>
      <c r="B60" s="10">
        <f>Stats!B$15</f>
        <v>4</v>
      </c>
      <c r="C60" s="10">
        <f>Stats!C$15</f>
        <v>3</v>
      </c>
      <c r="D60" s="10">
        <f>Stats!D$15</f>
        <v>2</v>
      </c>
      <c r="E60" s="10">
        <f>Stats!E$15</f>
        <v>2</v>
      </c>
      <c r="F60" s="10">
        <f>Stats!F$15</f>
        <v>4</v>
      </c>
      <c r="G60" s="10">
        <f>Stats!G$15</f>
        <v>0</v>
      </c>
      <c r="H60" s="10">
        <f>Stats!H$15</f>
        <v>2</v>
      </c>
      <c r="I60" s="10">
        <f>Stats!I$15</f>
        <v>-1</v>
      </c>
      <c r="J60" s="10">
        <f>Stats!J$15</f>
        <v>2</v>
      </c>
      <c r="K60" s="64" t="s">
        <v>13</v>
      </c>
    </row>
    <row r="61" spans="1:11" ht="15.75" hidden="1" customHeight="1" outlineLevel="1" x14ac:dyDescent="0.25">
      <c r="A61" s="69" t="s">
        <v>58</v>
      </c>
      <c r="B61" s="10">
        <f>Stats!B$15</f>
        <v>4</v>
      </c>
      <c r="C61" s="10">
        <f>Stats!C$15</f>
        <v>3</v>
      </c>
      <c r="D61" s="10">
        <f>Stats!D$15</f>
        <v>2</v>
      </c>
      <c r="E61" s="10">
        <f>Stats!E$15</f>
        <v>2</v>
      </c>
      <c r="F61" s="10">
        <f>Stats!F$15</f>
        <v>4</v>
      </c>
      <c r="G61" s="10">
        <f>Stats!G$15</f>
        <v>0</v>
      </c>
      <c r="H61" s="10">
        <f>Stats!H$15</f>
        <v>2</v>
      </c>
      <c r="I61" s="10">
        <f>Stats!I$15</f>
        <v>-1</v>
      </c>
      <c r="J61" s="10">
        <f>Stats!J$15</f>
        <v>2</v>
      </c>
      <c r="K61" s="64" t="s">
        <v>13</v>
      </c>
    </row>
    <row r="62" spans="1:11" ht="15.75" hidden="1" customHeight="1" outlineLevel="1" x14ac:dyDescent="0.25">
      <c r="A62" s="69" t="s">
        <v>59</v>
      </c>
      <c r="B62" s="10">
        <f>Stats!B$14</f>
        <v>2</v>
      </c>
      <c r="C62" s="10">
        <f>Stats!C$14</f>
        <v>4</v>
      </c>
      <c r="D62" s="10">
        <f>Stats!D$14</f>
        <v>1</v>
      </c>
      <c r="E62" s="10">
        <f>Stats!E$14</f>
        <v>1</v>
      </c>
      <c r="F62" s="10">
        <f>Stats!F$14</f>
        <v>2</v>
      </c>
      <c r="G62" s="10">
        <f>Stats!G$14</f>
        <v>1</v>
      </c>
      <c r="H62" s="10">
        <f>Stats!H$14</f>
        <v>0</v>
      </c>
      <c r="I62" s="10">
        <f>Stats!I$14</f>
        <v>3</v>
      </c>
      <c r="J62" s="10">
        <f>Stats!J$14</f>
        <v>-4</v>
      </c>
      <c r="K62" s="64" t="s">
        <v>12</v>
      </c>
    </row>
    <row r="63" spans="1:11" ht="15.75" hidden="1" customHeight="1" outlineLevel="1" x14ac:dyDescent="0.25">
      <c r="A63" s="69" t="s">
        <v>60</v>
      </c>
      <c r="B63" s="10">
        <f>Stats!B$16</f>
        <v>4</v>
      </c>
      <c r="C63" s="10">
        <f>Stats!C$16</f>
        <v>2</v>
      </c>
      <c r="D63" s="10">
        <f>Stats!D$16</f>
        <v>4</v>
      </c>
      <c r="E63" s="10">
        <f>Stats!E$16</f>
        <v>-1</v>
      </c>
      <c r="F63" s="10">
        <f>Stats!F$16</f>
        <v>3</v>
      </c>
      <c r="G63" s="10">
        <f>Stats!G$16</f>
        <v>4</v>
      </c>
      <c r="H63" s="10">
        <f>Stats!H$16</f>
        <v>0</v>
      </c>
      <c r="I63" s="10">
        <f>Stats!I$16</f>
        <v>3</v>
      </c>
      <c r="J63" s="10">
        <f>Stats!J$16</f>
        <v>0</v>
      </c>
      <c r="K63" s="64" t="s">
        <v>14</v>
      </c>
    </row>
    <row r="64" spans="1:11" ht="15.75" hidden="1" customHeight="1" outlineLevel="1" x14ac:dyDescent="0.25">
      <c r="A64" s="69" t="s">
        <v>61</v>
      </c>
      <c r="B64" s="10">
        <f>Stats!B$15</f>
        <v>4</v>
      </c>
      <c r="C64" s="10">
        <f>Stats!C$15</f>
        <v>3</v>
      </c>
      <c r="D64" s="10">
        <f>Stats!D$15</f>
        <v>2</v>
      </c>
      <c r="E64" s="10">
        <f>Stats!E$15</f>
        <v>2</v>
      </c>
      <c r="F64" s="10">
        <f>Stats!F$15</f>
        <v>4</v>
      </c>
      <c r="G64" s="10">
        <f>Stats!G$15</f>
        <v>0</v>
      </c>
      <c r="H64" s="10">
        <f>Stats!H$15</f>
        <v>2</v>
      </c>
      <c r="I64" s="10">
        <f>Stats!I$15</f>
        <v>-1</v>
      </c>
      <c r="J64" s="10">
        <f>Stats!J$15</f>
        <v>2</v>
      </c>
      <c r="K64" s="64" t="s">
        <v>13</v>
      </c>
    </row>
    <row r="65" spans="1:11" ht="15.75" hidden="1" customHeight="1" outlineLevel="1" x14ac:dyDescent="0.25">
      <c r="A65" s="69" t="s">
        <v>62</v>
      </c>
      <c r="B65" s="10">
        <f>Stats!B$14</f>
        <v>2</v>
      </c>
      <c r="C65" s="10">
        <f>Stats!C$14</f>
        <v>4</v>
      </c>
      <c r="D65" s="10">
        <f>Stats!D$14</f>
        <v>1</v>
      </c>
      <c r="E65" s="10">
        <f>Stats!E$14</f>
        <v>1</v>
      </c>
      <c r="F65" s="10">
        <f>Stats!F$14</f>
        <v>2</v>
      </c>
      <c r="G65" s="10">
        <f>Stats!G$14</f>
        <v>1</v>
      </c>
      <c r="H65" s="10">
        <f>Stats!H$14</f>
        <v>0</v>
      </c>
      <c r="I65" s="10">
        <f>Stats!I$14</f>
        <v>3</v>
      </c>
      <c r="J65" s="10">
        <f>Stats!J$14</f>
        <v>-4</v>
      </c>
      <c r="K65" s="64" t="s">
        <v>12</v>
      </c>
    </row>
    <row r="66" spans="1:11" ht="15.75" hidden="1" customHeight="1" outlineLevel="1" x14ac:dyDescent="0.25">
      <c r="A66" s="66" t="s">
        <v>23</v>
      </c>
      <c r="B66" s="10">
        <f>Stats!B$12</f>
        <v>3</v>
      </c>
      <c r="C66" s="10">
        <f>Stats!C$12</f>
        <v>2</v>
      </c>
      <c r="D66" s="10">
        <f>Stats!D$12</f>
        <v>2</v>
      </c>
      <c r="E66" s="10">
        <f>Stats!E$12</f>
        <v>3</v>
      </c>
      <c r="F66" s="10">
        <f>Stats!F$12</f>
        <v>3</v>
      </c>
      <c r="G66" s="10">
        <f>Stats!G$12</f>
        <v>4</v>
      </c>
      <c r="H66" s="10">
        <f>Stats!H$12</f>
        <v>2</v>
      </c>
      <c r="I66" s="10">
        <f>Stats!I$12</f>
        <v>4</v>
      </c>
      <c r="J66" s="10">
        <f>Stats!J$12</f>
        <v>4</v>
      </c>
      <c r="K66" s="64" t="s">
        <v>11</v>
      </c>
    </row>
    <row r="67" spans="1:11" ht="15.75" hidden="1" customHeight="1" outlineLevel="1" x14ac:dyDescent="0.25">
      <c r="A67" s="66" t="s">
        <v>24</v>
      </c>
      <c r="B67" s="10">
        <f>Stats!B$15</f>
        <v>4</v>
      </c>
      <c r="C67" s="10">
        <f>Stats!C$15</f>
        <v>3</v>
      </c>
      <c r="D67" s="10">
        <f>Stats!D$15</f>
        <v>2</v>
      </c>
      <c r="E67" s="10">
        <f>Stats!E$15</f>
        <v>2</v>
      </c>
      <c r="F67" s="10">
        <f>Stats!F$15</f>
        <v>4</v>
      </c>
      <c r="G67" s="10">
        <f>Stats!G$15</f>
        <v>0</v>
      </c>
      <c r="H67" s="10">
        <f>Stats!H$15</f>
        <v>2</v>
      </c>
      <c r="I67" s="10">
        <f>Stats!I$15</f>
        <v>-1</v>
      </c>
      <c r="J67" s="10">
        <f>Stats!J$15</f>
        <v>2</v>
      </c>
      <c r="K67" s="64" t="s">
        <v>13</v>
      </c>
    </row>
    <row r="68" spans="1:11" ht="15.75" hidden="1" customHeight="1" outlineLevel="1" x14ac:dyDescent="0.25">
      <c r="A68" s="69" t="s">
        <v>63</v>
      </c>
      <c r="B68" s="10">
        <f>Stats!B$12</f>
        <v>3</v>
      </c>
      <c r="C68" s="10">
        <f>Stats!C$12</f>
        <v>2</v>
      </c>
      <c r="D68" s="10">
        <f>Stats!D$12</f>
        <v>2</v>
      </c>
      <c r="E68" s="10">
        <f>Stats!E$12</f>
        <v>3</v>
      </c>
      <c r="F68" s="10">
        <f>Stats!F$12</f>
        <v>3</v>
      </c>
      <c r="G68" s="10">
        <f>Stats!G$12</f>
        <v>4</v>
      </c>
      <c r="H68" s="10">
        <f>Stats!H$12</f>
        <v>2</v>
      </c>
      <c r="I68" s="10">
        <f>Stats!I$12</f>
        <v>4</v>
      </c>
      <c r="J68" s="10">
        <f>Stats!J$12</f>
        <v>4</v>
      </c>
      <c r="K68" s="64" t="s">
        <v>11</v>
      </c>
    </row>
    <row r="69" spans="1:11" ht="7.5" hidden="1" customHeight="1" outlineLevel="1" thickBot="1" x14ac:dyDescent="0.3">
      <c r="A69" s="34"/>
    </row>
    <row r="70" spans="1:11" ht="15.75" hidden="1" customHeight="1" outlineLevel="1" x14ac:dyDescent="0.25">
      <c r="A70" s="207" t="s">
        <v>236</v>
      </c>
      <c r="B70" s="37">
        <f>Stats!B$15</f>
        <v>4</v>
      </c>
      <c r="C70" s="37">
        <f>Stats!C$14</f>
        <v>4</v>
      </c>
      <c r="D70" s="37">
        <f>Stats!D$16</f>
        <v>4</v>
      </c>
      <c r="E70" s="37">
        <f>Stats!E$11</f>
        <v>4</v>
      </c>
      <c r="F70" s="37">
        <f>Stats!F$15</f>
        <v>4</v>
      </c>
      <c r="G70" s="37">
        <f>Stats!G$16</f>
        <v>4</v>
      </c>
      <c r="H70" s="37">
        <f>Stats!H$11</f>
        <v>4</v>
      </c>
      <c r="I70" s="37">
        <f>Stats!I$12</f>
        <v>4</v>
      </c>
      <c r="J70" s="38">
        <f>Stats!J$13</f>
        <v>3</v>
      </c>
    </row>
    <row r="71" spans="1:11" ht="15.75" hidden="1" customHeight="1" outlineLevel="1" x14ac:dyDescent="0.25">
      <c r="A71" s="199" t="s">
        <v>235</v>
      </c>
      <c r="B71" s="70" t="str">
        <f>'Dés de vie'!B11</f>
        <v>WIS</v>
      </c>
      <c r="C71" s="70" t="str">
        <f>'Dés de vie'!C11</f>
        <v>INT</v>
      </c>
      <c r="D71" s="70" t="str">
        <f>'Dés de vie'!D11</f>
        <v>CHA</v>
      </c>
      <c r="E71" s="70" t="str">
        <f>'Dés de vie'!E11</f>
        <v>STR</v>
      </c>
      <c r="F71" s="70" t="str">
        <f>'Dés de vie'!F11</f>
        <v>WIS</v>
      </c>
      <c r="G71" s="70" t="str">
        <f>'Dés de vie'!G11</f>
        <v>CHA</v>
      </c>
      <c r="H71" s="70" t="str">
        <f>'Dés de vie'!H11</f>
        <v>STR</v>
      </c>
      <c r="I71" s="70" t="str">
        <f>'Dés de vie'!I11</f>
        <v>DEX</v>
      </c>
      <c r="J71" s="116" t="s">
        <v>8</v>
      </c>
    </row>
    <row r="72" spans="1:11" ht="15.75" hidden="1" customHeight="1" outlineLevel="1" thickBot="1" x14ac:dyDescent="0.3">
      <c r="A72" s="208" t="s">
        <v>102</v>
      </c>
      <c r="B72" s="206" t="s">
        <v>152</v>
      </c>
      <c r="C72" s="206" t="s">
        <v>51</v>
      </c>
      <c r="D72" s="206" t="s">
        <v>663</v>
      </c>
      <c r="E72" s="206"/>
      <c r="F72" s="206" t="s">
        <v>85</v>
      </c>
      <c r="G72" s="206" t="s">
        <v>416</v>
      </c>
      <c r="H72" s="18"/>
      <c r="I72" s="18"/>
      <c r="J72" s="19"/>
    </row>
    <row r="73" spans="1:11" ht="15.75" hidden="1" customHeight="1" outlineLevel="1" collapsed="1" thickBot="1" x14ac:dyDescent="0.3">
      <c r="A73" s="34"/>
    </row>
    <row r="74" spans="1:11" ht="15.75" hidden="1" customHeight="1" outlineLevel="1" collapsed="1" thickBot="1" x14ac:dyDescent="0.3">
      <c r="A74" s="71" t="s">
        <v>92</v>
      </c>
    </row>
    <row r="75" spans="1:11" ht="15.75" customHeight="1" collapsed="1" thickBot="1" x14ac:dyDescent="0.3">
      <c r="A75" s="72" t="s">
        <v>22</v>
      </c>
      <c r="B75" s="73" t="s">
        <v>88</v>
      </c>
      <c r="C75" s="73" t="s">
        <v>86</v>
      </c>
      <c r="D75" s="73" t="s">
        <v>88</v>
      </c>
      <c r="E75" s="73" t="s">
        <v>88</v>
      </c>
      <c r="F75" s="73" t="s">
        <v>88</v>
      </c>
      <c r="G75" s="73" t="s">
        <v>88</v>
      </c>
      <c r="H75" s="73" t="s">
        <v>88</v>
      </c>
      <c r="I75" s="73" t="s">
        <v>88</v>
      </c>
      <c r="J75" s="73" t="s">
        <v>86</v>
      </c>
    </row>
    <row r="76" spans="1:11" ht="15.75" hidden="1" customHeight="1" outlineLevel="1" thickBot="1" x14ac:dyDescent="0.3">
      <c r="A76" s="74"/>
      <c r="B76" s="75" t="s">
        <v>716</v>
      </c>
      <c r="C76" s="75" t="s">
        <v>144</v>
      </c>
      <c r="D76" s="75" t="s">
        <v>144</v>
      </c>
      <c r="E76" s="75" t="s">
        <v>144</v>
      </c>
      <c r="F76" s="75" t="s">
        <v>981</v>
      </c>
      <c r="G76" s="75" t="s">
        <v>144</v>
      </c>
      <c r="H76" s="75" t="s">
        <v>144</v>
      </c>
      <c r="I76" s="75" t="s">
        <v>144</v>
      </c>
      <c r="J76" s="75" t="s">
        <v>290</v>
      </c>
    </row>
    <row r="77" spans="1:11" ht="7.5" hidden="1" customHeight="1" outlineLevel="1" collapsed="1" thickBot="1" x14ac:dyDescent="0.3">
      <c r="A77" s="34"/>
    </row>
    <row r="78" spans="1:11" ht="15.75" customHeight="1" collapsed="1" thickBot="1" x14ac:dyDescent="0.3">
      <c r="A78" s="72" t="s">
        <v>64</v>
      </c>
      <c r="B78" s="73" t="s">
        <v>88</v>
      </c>
      <c r="C78" s="73" t="s">
        <v>88</v>
      </c>
      <c r="D78" s="73" t="s">
        <v>86</v>
      </c>
      <c r="E78" s="73" t="s">
        <v>88</v>
      </c>
      <c r="F78" s="73" t="s">
        <v>88</v>
      </c>
      <c r="G78" s="73" t="s">
        <v>86</v>
      </c>
      <c r="H78" s="73" t="s">
        <v>88</v>
      </c>
      <c r="I78" s="73" t="s">
        <v>86</v>
      </c>
      <c r="J78" s="73" t="s">
        <v>88</v>
      </c>
    </row>
    <row r="79" spans="1:11" ht="15.75" hidden="1" customHeight="1" outlineLevel="1" thickBot="1" x14ac:dyDescent="0.3">
      <c r="A79" s="76"/>
      <c r="B79" s="75" t="s">
        <v>716</v>
      </c>
      <c r="C79" s="813" t="s">
        <v>782</v>
      </c>
      <c r="D79" s="75" t="s">
        <v>144</v>
      </c>
      <c r="E79" s="75" t="s">
        <v>144</v>
      </c>
      <c r="F79" s="75" t="s">
        <v>716</v>
      </c>
      <c r="G79" s="75" t="s">
        <v>144</v>
      </c>
      <c r="H79" s="75" t="s">
        <v>144</v>
      </c>
      <c r="I79" s="75" t="s">
        <v>144</v>
      </c>
      <c r="J79" s="75"/>
    </row>
    <row r="80" spans="1:11" ht="15.75" customHeight="1" collapsed="1" thickBot="1" x14ac:dyDescent="0.3">
      <c r="A80" s="77" t="s">
        <v>65</v>
      </c>
      <c r="B80" s="73" t="s">
        <v>88</v>
      </c>
      <c r="C80" s="73" t="s">
        <v>88</v>
      </c>
      <c r="D80" s="73" t="s">
        <v>88</v>
      </c>
      <c r="E80" s="73" t="s">
        <v>86</v>
      </c>
      <c r="F80" s="73" t="s">
        <v>86</v>
      </c>
      <c r="G80" s="73" t="s">
        <v>88</v>
      </c>
      <c r="H80" s="73" t="s">
        <v>88</v>
      </c>
      <c r="I80" s="73" t="s">
        <v>88</v>
      </c>
      <c r="J80" s="73" t="s">
        <v>88</v>
      </c>
    </row>
    <row r="81" spans="1:10" ht="15.75" hidden="1" customHeight="1" outlineLevel="1" thickBot="1" x14ac:dyDescent="0.3">
      <c r="A81" s="76"/>
      <c r="B81" s="75" t="s">
        <v>981</v>
      </c>
      <c r="C81" s="75" t="s">
        <v>981</v>
      </c>
      <c r="D81" s="75" t="s">
        <v>716</v>
      </c>
      <c r="E81" s="75" t="s">
        <v>144</v>
      </c>
      <c r="F81" s="75" t="s">
        <v>144</v>
      </c>
      <c r="G81" s="75" t="s">
        <v>144</v>
      </c>
      <c r="H81" s="75" t="s">
        <v>144</v>
      </c>
      <c r="I81" s="75" t="s">
        <v>144</v>
      </c>
      <c r="J81" s="75"/>
    </row>
    <row r="82" spans="1:10" ht="15.75" customHeight="1" collapsed="1" x14ac:dyDescent="0.25">
      <c r="A82" s="77" t="s">
        <v>66</v>
      </c>
      <c r="B82" s="73" t="s">
        <v>88</v>
      </c>
      <c r="C82" s="73" t="s">
        <v>88</v>
      </c>
      <c r="D82" s="73" t="s">
        <v>88</v>
      </c>
      <c r="E82" s="73" t="s">
        <v>88</v>
      </c>
      <c r="F82" s="73" t="s">
        <v>88</v>
      </c>
      <c r="G82" s="73" t="s">
        <v>88</v>
      </c>
      <c r="H82" s="73" t="s">
        <v>88</v>
      </c>
      <c r="I82" s="73" t="s">
        <v>88</v>
      </c>
      <c r="J82" s="73" t="s">
        <v>86</v>
      </c>
    </row>
    <row r="83" spans="1:10" ht="15.75" hidden="1" customHeight="1" outlineLevel="1" thickBot="1" x14ac:dyDescent="0.3">
      <c r="A83" s="74"/>
      <c r="B83" s="75" t="s">
        <v>151</v>
      </c>
      <c r="C83" s="75" t="s">
        <v>151</v>
      </c>
      <c r="D83" s="75" t="s">
        <v>151</v>
      </c>
      <c r="E83" s="75" t="s">
        <v>144</v>
      </c>
      <c r="F83" s="75" t="s">
        <v>151</v>
      </c>
      <c r="G83" s="75" t="s">
        <v>144</v>
      </c>
      <c r="H83" s="75" t="s">
        <v>716</v>
      </c>
      <c r="I83" s="75" t="s">
        <v>144</v>
      </c>
      <c r="J83" s="75"/>
    </row>
    <row r="84" spans="1:10" ht="7.5" hidden="1" customHeight="1" outlineLevel="1" x14ac:dyDescent="0.25">
      <c r="A84" s="34"/>
    </row>
    <row r="85" spans="1:10" ht="15.75" hidden="1" customHeight="1" outlineLevel="1" x14ac:dyDescent="0.25">
      <c r="A85" s="78" t="s">
        <v>142</v>
      </c>
      <c r="B85" s="25">
        <v>2</v>
      </c>
      <c r="C85" s="25">
        <v>1</v>
      </c>
      <c r="D85" s="25">
        <v>2</v>
      </c>
      <c r="E85" s="25">
        <v>1</v>
      </c>
      <c r="F85" s="25">
        <v>2</v>
      </c>
      <c r="G85" s="25">
        <v>3</v>
      </c>
      <c r="H85" s="25">
        <v>1</v>
      </c>
      <c r="I85" s="25">
        <v>2</v>
      </c>
      <c r="J85" s="25"/>
    </row>
    <row r="86" spans="1:10" ht="60" hidden="1" outlineLevel="1" x14ac:dyDescent="0.25">
      <c r="A86" s="24"/>
      <c r="B86" s="194" t="s">
        <v>226</v>
      </c>
      <c r="C86" s="17" t="s">
        <v>51</v>
      </c>
      <c r="D86" s="194" t="s">
        <v>665</v>
      </c>
      <c r="E86" s="17" t="s">
        <v>52</v>
      </c>
      <c r="F86" s="194" t="s">
        <v>251</v>
      </c>
      <c r="G86" s="194" t="s">
        <v>254</v>
      </c>
      <c r="H86" s="17" t="s">
        <v>20</v>
      </c>
      <c r="I86" s="194" t="s">
        <v>850</v>
      </c>
      <c r="J86" s="17"/>
    </row>
    <row r="87" spans="1:10" ht="15.75" hidden="1" customHeight="1" outlineLevel="1" x14ac:dyDescent="0.25">
      <c r="A87" s="79" t="s">
        <v>141</v>
      </c>
      <c r="B87" s="25">
        <v>2</v>
      </c>
      <c r="C87" s="25">
        <v>2</v>
      </c>
      <c r="D87" s="25">
        <v>4</v>
      </c>
      <c r="E87" s="25">
        <v>3</v>
      </c>
      <c r="F87" s="25">
        <v>2</v>
      </c>
      <c r="G87" s="25">
        <v>7</v>
      </c>
      <c r="H87" s="25">
        <v>3</v>
      </c>
      <c r="I87" s="25">
        <v>7</v>
      </c>
      <c r="J87" s="25"/>
    </row>
    <row r="88" spans="1:10" ht="15.75" hidden="1" customHeight="1" outlineLevel="1" x14ac:dyDescent="0.25">
      <c r="A88" s="79" t="s">
        <v>146</v>
      </c>
      <c r="B88" s="55">
        <f>Stats!B14</f>
        <v>2</v>
      </c>
      <c r="C88" s="55">
        <f>Stats!C14</f>
        <v>4</v>
      </c>
      <c r="D88" s="55">
        <f>Stats!D14</f>
        <v>1</v>
      </c>
      <c r="E88" s="55">
        <f>Stats!E14</f>
        <v>1</v>
      </c>
      <c r="F88" s="55">
        <f>Stats!F14</f>
        <v>2</v>
      </c>
      <c r="G88" s="55">
        <f>Stats!G14</f>
        <v>1</v>
      </c>
      <c r="H88" s="55">
        <f>Stats!H14</f>
        <v>0</v>
      </c>
      <c r="I88" s="55">
        <f>Stats!I14</f>
        <v>3</v>
      </c>
      <c r="J88" s="55"/>
    </row>
    <row r="89" spans="1:10" ht="15.75" hidden="1" customHeight="1" outlineLevel="1" x14ac:dyDescent="0.25">
      <c r="A89" s="78" t="s">
        <v>143</v>
      </c>
      <c r="B89" s="25">
        <v>2</v>
      </c>
      <c r="C89" s="25">
        <v>2</v>
      </c>
      <c r="D89" s="25">
        <v>2</v>
      </c>
      <c r="E89" s="25">
        <v>2</v>
      </c>
      <c r="F89" s="25">
        <v>2</v>
      </c>
      <c r="G89" s="25">
        <v>2</v>
      </c>
      <c r="H89" s="25">
        <v>2</v>
      </c>
      <c r="I89" s="25">
        <v>2</v>
      </c>
      <c r="J89" s="25"/>
    </row>
    <row r="90" spans="1:10" ht="60" hidden="1" outlineLevel="1" x14ac:dyDescent="0.25">
      <c r="A90" s="24"/>
      <c r="B90" s="194" t="s">
        <v>228</v>
      </c>
      <c r="C90" s="194" t="s">
        <v>227</v>
      </c>
      <c r="D90" s="194" t="s">
        <v>674</v>
      </c>
      <c r="E90" s="194" t="s">
        <v>273</v>
      </c>
      <c r="F90" s="194" t="s">
        <v>229</v>
      </c>
      <c r="G90" s="194" t="s">
        <v>230</v>
      </c>
      <c r="H90" s="194" t="s">
        <v>231</v>
      </c>
      <c r="I90" s="194" t="s">
        <v>851</v>
      </c>
      <c r="J90" s="17"/>
    </row>
    <row r="91" spans="1:10" ht="15.75" hidden="1" customHeight="1" outlineLevel="1" x14ac:dyDescent="0.25">
      <c r="A91" s="79" t="s">
        <v>145</v>
      </c>
      <c r="B91" s="25">
        <f>INT(('Dés de vie'!B13-1)/2)</f>
        <v>2</v>
      </c>
      <c r="C91" s="25">
        <f>INT(('Dés de vie'!C13-1)/2)</f>
        <v>2</v>
      </c>
      <c r="D91" s="25">
        <f>INT(('Dés de vie'!D13-1)/2)</f>
        <v>2</v>
      </c>
      <c r="E91" s="25">
        <f>INT(('Dés de vie'!E13-1)/2)</f>
        <v>2</v>
      </c>
      <c r="F91" s="25">
        <f>INT(('Dés de vie'!F13-1)/2)</f>
        <v>2</v>
      </c>
      <c r="G91" s="25">
        <f>'Dés de vie'!G13-1</f>
        <v>4</v>
      </c>
      <c r="H91" s="25">
        <f>INT(('Dés de vie'!H13-1)/2)</f>
        <v>2</v>
      </c>
      <c r="I91" s="25">
        <f>'Dés de vie'!I13-1</f>
        <v>4</v>
      </c>
      <c r="J91" s="25"/>
    </row>
    <row r="92" spans="1:10" ht="15.75" hidden="1" customHeight="1" outlineLevel="1" collapsed="1" x14ac:dyDescent="0.25">
      <c r="A92" s="78" t="s">
        <v>147</v>
      </c>
      <c r="B92" s="25">
        <v>2</v>
      </c>
      <c r="C92" s="25"/>
      <c r="D92" s="25"/>
      <c r="E92" s="25"/>
      <c r="F92" s="25">
        <v>3</v>
      </c>
      <c r="G92" s="25"/>
      <c r="H92" s="25"/>
      <c r="I92" s="25"/>
      <c r="J92" s="25"/>
    </row>
    <row r="93" spans="1:10" ht="45" hidden="1" outlineLevel="1" x14ac:dyDescent="0.25">
      <c r="A93" s="24"/>
      <c r="B93" s="194" t="s">
        <v>931</v>
      </c>
      <c r="C93" s="14"/>
      <c r="D93" s="14"/>
      <c r="E93" s="14"/>
      <c r="F93" s="194" t="s">
        <v>253</v>
      </c>
      <c r="G93" s="14"/>
      <c r="H93" s="14"/>
      <c r="I93" s="14"/>
      <c r="J93" s="14"/>
    </row>
    <row r="94" spans="1:10" ht="15.75" hidden="1" customHeight="1" outlineLevel="1" collapsed="1" x14ac:dyDescent="0.25">
      <c r="A94" s="80" t="s">
        <v>139</v>
      </c>
      <c r="B94" s="25">
        <f>B85+SUM(B87:B89)+SUM(B91:B92)</f>
        <v>12</v>
      </c>
      <c r="C94" s="25">
        <f t="shared" ref="C94:H94" si="44">C85+SUM(C87:C89)+SUM(C91:C92)</f>
        <v>11</v>
      </c>
      <c r="D94" s="25">
        <f t="shared" ref="D94" si="45">D85+SUM(D87:D89)+SUM(D91:D92)</f>
        <v>11</v>
      </c>
      <c r="E94" s="25">
        <f t="shared" si="44"/>
        <v>9</v>
      </c>
      <c r="F94" s="25">
        <f t="shared" si="44"/>
        <v>13</v>
      </c>
      <c r="G94" s="25">
        <f t="shared" si="44"/>
        <v>17</v>
      </c>
      <c r="H94" s="25">
        <f t="shared" si="44"/>
        <v>8</v>
      </c>
      <c r="I94" s="25">
        <f t="shared" ref="I94" si="46">I85+SUM(I87:I89)+SUM(I91:I92)</f>
        <v>18</v>
      </c>
      <c r="J94" s="25"/>
    </row>
    <row r="95" spans="1:10" ht="15.75" customHeight="1" collapsed="1" thickBot="1" x14ac:dyDescent="0.3">
      <c r="A95" s="81" t="s">
        <v>140</v>
      </c>
      <c r="B95" s="27">
        <f t="shared" ref="B95:H95" si="47">B94-SUM(B282:B301)</f>
        <v>0</v>
      </c>
      <c r="C95" s="27">
        <f t="shared" si="47"/>
        <v>0</v>
      </c>
      <c r="D95" s="27">
        <f t="shared" si="47"/>
        <v>0</v>
      </c>
      <c r="E95" s="27">
        <f t="shared" si="47"/>
        <v>0</v>
      </c>
      <c r="F95" s="27">
        <f t="shared" si="47"/>
        <v>0</v>
      </c>
      <c r="G95" s="27">
        <f t="shared" si="47"/>
        <v>0</v>
      </c>
      <c r="H95" s="27">
        <f t="shared" si="47"/>
        <v>0</v>
      </c>
      <c r="I95" s="27">
        <f t="shared" ref="I95" si="48">I94-SUM(I282:I301)</f>
        <v>0</v>
      </c>
      <c r="J95" s="27"/>
    </row>
    <row r="96" spans="1:10" ht="15.75" customHeight="1" thickBot="1" x14ac:dyDescent="0.3">
      <c r="A96" s="82" t="s">
        <v>20</v>
      </c>
      <c r="B96" s="117" t="s">
        <v>87</v>
      </c>
      <c r="C96" s="118" t="s">
        <v>87</v>
      </c>
      <c r="D96" s="118" t="s">
        <v>87</v>
      </c>
      <c r="E96" s="118" t="s">
        <v>88</v>
      </c>
      <c r="F96" s="118" t="s">
        <v>86</v>
      </c>
      <c r="G96" s="118" t="s">
        <v>88</v>
      </c>
      <c r="H96" s="118" t="s">
        <v>88</v>
      </c>
      <c r="I96" s="118" t="s">
        <v>88</v>
      </c>
      <c r="J96" s="798" t="s">
        <v>86</v>
      </c>
    </row>
    <row r="97" spans="1:10" ht="15.75" hidden="1" customHeight="1" outlineLevel="1" thickBot="1" x14ac:dyDescent="0.3">
      <c r="A97" s="83"/>
      <c r="B97" s="119"/>
      <c r="C97" s="120"/>
      <c r="D97" s="120"/>
      <c r="E97" s="806" t="s">
        <v>1020</v>
      </c>
      <c r="F97" s="807" t="s">
        <v>149</v>
      </c>
      <c r="G97" s="807" t="s">
        <v>915</v>
      </c>
      <c r="H97" s="808" t="s">
        <v>987</v>
      </c>
      <c r="I97" s="807" t="s">
        <v>915</v>
      </c>
      <c r="J97" s="799" t="s">
        <v>290</v>
      </c>
    </row>
    <row r="98" spans="1:10" ht="15.75" customHeight="1" collapsed="1" thickBot="1" x14ac:dyDescent="0.3">
      <c r="A98" s="85" t="s">
        <v>51</v>
      </c>
      <c r="B98" s="117" t="s">
        <v>87</v>
      </c>
      <c r="C98" s="118" t="s">
        <v>86</v>
      </c>
      <c r="D98" s="118" t="s">
        <v>87</v>
      </c>
      <c r="E98" s="118" t="s">
        <v>87</v>
      </c>
      <c r="F98" s="118" t="s">
        <v>86</v>
      </c>
      <c r="G98" s="118" t="s">
        <v>87</v>
      </c>
      <c r="H98" s="118" t="s">
        <v>87</v>
      </c>
      <c r="I98" s="118" t="s">
        <v>87</v>
      </c>
      <c r="J98" s="798" t="s">
        <v>87</v>
      </c>
    </row>
    <row r="99" spans="1:10" ht="15.75" hidden="1" customHeight="1" outlineLevel="1" thickBot="1" x14ac:dyDescent="0.3">
      <c r="A99" s="83"/>
      <c r="B99" s="119"/>
      <c r="C99" s="808" t="s">
        <v>900</v>
      </c>
      <c r="D99" s="120"/>
      <c r="E99" s="120"/>
      <c r="F99" s="809" t="s">
        <v>150</v>
      </c>
      <c r="G99" s="120"/>
      <c r="H99" s="120"/>
      <c r="I99" s="120"/>
      <c r="J99" s="799"/>
    </row>
    <row r="100" spans="1:10" ht="15.75" customHeight="1" collapsed="1" thickBot="1" x14ac:dyDescent="0.3">
      <c r="A100" s="85" t="s">
        <v>52</v>
      </c>
      <c r="B100" s="117" t="s">
        <v>86</v>
      </c>
      <c r="C100" s="118" t="s">
        <v>87</v>
      </c>
      <c r="D100" s="118" t="s">
        <v>86</v>
      </c>
      <c r="E100" s="118" t="s">
        <v>88</v>
      </c>
      <c r="F100" s="118" t="s">
        <v>87</v>
      </c>
      <c r="G100" s="118" t="s">
        <v>88</v>
      </c>
      <c r="H100" s="118" t="s">
        <v>88</v>
      </c>
      <c r="I100" s="118" t="s">
        <v>86</v>
      </c>
      <c r="J100" s="798" t="s">
        <v>86</v>
      </c>
    </row>
    <row r="101" spans="1:10" ht="15.75" hidden="1" customHeight="1" outlineLevel="1" thickBot="1" x14ac:dyDescent="0.3">
      <c r="A101" s="83"/>
      <c r="B101" s="131" t="s">
        <v>900</v>
      </c>
      <c r="C101" s="120"/>
      <c r="D101" s="807" t="s">
        <v>149</v>
      </c>
      <c r="E101" s="808" t="s">
        <v>902</v>
      </c>
      <c r="F101" s="120"/>
      <c r="G101" s="807" t="s">
        <v>1016</v>
      </c>
      <c r="H101" s="807" t="s">
        <v>901</v>
      </c>
      <c r="I101" s="807" t="s">
        <v>149</v>
      </c>
      <c r="J101" s="799" t="s">
        <v>290</v>
      </c>
    </row>
    <row r="102" spans="1:10" ht="15.75" customHeight="1" collapsed="1" thickBot="1" x14ac:dyDescent="0.3">
      <c r="A102" s="85" t="s">
        <v>53</v>
      </c>
      <c r="B102" s="117" t="s">
        <v>87</v>
      </c>
      <c r="C102" s="118" t="s">
        <v>86</v>
      </c>
      <c r="D102" s="118" t="s">
        <v>88</v>
      </c>
      <c r="E102" s="118" t="s">
        <v>86</v>
      </c>
      <c r="F102" s="118" t="s">
        <v>87</v>
      </c>
      <c r="G102" s="118" t="s">
        <v>86</v>
      </c>
      <c r="H102" s="118" t="s">
        <v>87</v>
      </c>
      <c r="I102" s="118" t="s">
        <v>86</v>
      </c>
      <c r="J102" s="798" t="s">
        <v>87</v>
      </c>
    </row>
    <row r="103" spans="1:10" ht="15.75" hidden="1" customHeight="1" outlineLevel="1" thickBot="1" x14ac:dyDescent="0.3">
      <c r="A103" s="83"/>
      <c r="B103" s="119"/>
      <c r="C103" s="807" t="s">
        <v>149</v>
      </c>
      <c r="D103" s="806" t="s">
        <v>903</v>
      </c>
      <c r="E103" s="807" t="s">
        <v>149</v>
      </c>
      <c r="F103" s="120"/>
      <c r="G103" s="807" t="s">
        <v>149</v>
      </c>
      <c r="H103" s="120"/>
      <c r="I103" s="807" t="s">
        <v>149</v>
      </c>
      <c r="J103" s="799"/>
    </row>
    <row r="104" spans="1:10" ht="15.75" customHeight="1" collapsed="1" thickBot="1" x14ac:dyDescent="0.3">
      <c r="A104" s="85" t="s">
        <v>54</v>
      </c>
      <c r="B104" s="117" t="s">
        <v>87</v>
      </c>
      <c r="C104" s="118" t="s">
        <v>86</v>
      </c>
      <c r="D104" s="118" t="s">
        <v>87</v>
      </c>
      <c r="E104" s="118" t="s">
        <v>87</v>
      </c>
      <c r="F104" s="118" t="s">
        <v>87</v>
      </c>
      <c r="G104" s="118" t="s">
        <v>88</v>
      </c>
      <c r="H104" s="118" t="s">
        <v>87</v>
      </c>
      <c r="I104" s="118" t="s">
        <v>88</v>
      </c>
      <c r="J104" s="798" t="s">
        <v>87</v>
      </c>
    </row>
    <row r="105" spans="1:10" ht="15.75" hidden="1" customHeight="1" outlineLevel="1" thickBot="1" x14ac:dyDescent="0.3">
      <c r="A105" s="83"/>
      <c r="B105" s="119"/>
      <c r="C105" s="806" t="s">
        <v>148</v>
      </c>
      <c r="D105" s="120"/>
      <c r="E105" s="120"/>
      <c r="F105" s="120"/>
      <c r="G105" s="808" t="s">
        <v>904</v>
      </c>
      <c r="H105" s="120"/>
      <c r="I105" s="807" t="s">
        <v>905</v>
      </c>
      <c r="J105" s="799"/>
    </row>
    <row r="106" spans="1:10" ht="15.75" customHeight="1" collapsed="1" thickBot="1" x14ac:dyDescent="0.3">
      <c r="A106" s="85" t="s">
        <v>21</v>
      </c>
      <c r="B106" s="117" t="s">
        <v>86</v>
      </c>
      <c r="C106" s="118" t="s">
        <v>86</v>
      </c>
      <c r="D106" s="118" t="s">
        <v>86</v>
      </c>
      <c r="E106" s="118" t="s">
        <v>87</v>
      </c>
      <c r="F106" s="118" t="s">
        <v>88</v>
      </c>
      <c r="G106" s="118" t="s">
        <v>88</v>
      </c>
      <c r="H106" s="118" t="s">
        <v>87</v>
      </c>
      <c r="I106" s="118" t="s">
        <v>86</v>
      </c>
      <c r="J106" s="798" t="s">
        <v>87</v>
      </c>
    </row>
    <row r="107" spans="1:10" ht="15.75" hidden="1" customHeight="1" outlineLevel="1" thickBot="1" x14ac:dyDescent="0.3">
      <c r="A107" s="83"/>
      <c r="B107" s="195" t="s">
        <v>149</v>
      </c>
      <c r="C107" s="807" t="s">
        <v>149</v>
      </c>
      <c r="D107" s="807" t="s">
        <v>149</v>
      </c>
      <c r="E107" s="120"/>
      <c r="F107" s="807" t="s">
        <v>1016</v>
      </c>
      <c r="G107" s="808" t="s">
        <v>902</v>
      </c>
      <c r="H107" s="120"/>
      <c r="I107" s="807" t="s">
        <v>149</v>
      </c>
      <c r="J107" s="799"/>
    </row>
    <row r="108" spans="1:10" ht="15.75" customHeight="1" collapsed="1" thickBot="1" x14ac:dyDescent="0.3">
      <c r="A108" s="85" t="s">
        <v>55</v>
      </c>
      <c r="B108" s="117" t="s">
        <v>87</v>
      </c>
      <c r="C108" s="118" t="s">
        <v>87</v>
      </c>
      <c r="D108" s="118" t="s">
        <v>86</v>
      </c>
      <c r="E108" s="118" t="s">
        <v>87</v>
      </c>
      <c r="F108" s="118" t="s">
        <v>86</v>
      </c>
      <c r="G108" s="118" t="s">
        <v>86</v>
      </c>
      <c r="H108" s="118" t="s">
        <v>86</v>
      </c>
      <c r="I108" s="118" t="s">
        <v>88</v>
      </c>
      <c r="J108" s="798" t="s">
        <v>87</v>
      </c>
    </row>
    <row r="109" spans="1:10" ht="15.75" hidden="1" customHeight="1" outlineLevel="1" thickBot="1" x14ac:dyDescent="0.3">
      <c r="A109" s="83"/>
      <c r="B109" s="119"/>
      <c r="C109" s="120"/>
      <c r="D109" s="807" t="s">
        <v>149</v>
      </c>
      <c r="E109" s="120"/>
      <c r="F109" s="806" t="s">
        <v>148</v>
      </c>
      <c r="G109" s="807" t="s">
        <v>149</v>
      </c>
      <c r="H109" s="806" t="s">
        <v>148</v>
      </c>
      <c r="I109" s="807" t="s">
        <v>1016</v>
      </c>
      <c r="J109" s="799"/>
    </row>
    <row r="110" spans="1:10" ht="15.75" hidden="1" customHeight="1" outlineLevel="1" x14ac:dyDescent="0.25">
      <c r="A110" s="85" t="s">
        <v>56</v>
      </c>
      <c r="B110" s="122" t="s">
        <v>87</v>
      </c>
      <c r="C110" s="810" t="s">
        <v>87</v>
      </c>
      <c r="D110" s="810" t="s">
        <v>87</v>
      </c>
      <c r="E110" s="810" t="s">
        <v>87</v>
      </c>
      <c r="F110" s="810" t="s">
        <v>87</v>
      </c>
      <c r="G110" s="810" t="s">
        <v>87</v>
      </c>
      <c r="H110" s="810" t="s">
        <v>87</v>
      </c>
      <c r="I110" s="810" t="s">
        <v>87</v>
      </c>
      <c r="J110" s="798" t="s">
        <v>87</v>
      </c>
    </row>
    <row r="111" spans="1:10" ht="15.75" hidden="1" customHeight="1" outlineLevel="1" thickBot="1" x14ac:dyDescent="0.3">
      <c r="A111" s="83"/>
      <c r="B111" s="123"/>
      <c r="C111" s="811"/>
      <c r="D111" s="811"/>
      <c r="E111" s="811"/>
      <c r="F111" s="811"/>
      <c r="G111" s="811"/>
      <c r="H111" s="811"/>
      <c r="I111" s="811"/>
      <c r="J111" s="799"/>
    </row>
    <row r="112" spans="1:10" ht="15.75" customHeight="1" collapsed="1" thickBot="1" x14ac:dyDescent="0.3">
      <c r="A112" s="85" t="s">
        <v>67</v>
      </c>
      <c r="B112" s="117" t="s">
        <v>88</v>
      </c>
      <c r="C112" s="118" t="s">
        <v>86</v>
      </c>
      <c r="D112" s="118" t="s">
        <v>86</v>
      </c>
      <c r="E112" s="118" t="s">
        <v>86</v>
      </c>
      <c r="F112" s="118" t="s">
        <v>86</v>
      </c>
      <c r="G112" s="118" t="s">
        <v>86</v>
      </c>
      <c r="H112" s="118" t="s">
        <v>86</v>
      </c>
      <c r="I112" s="118" t="s">
        <v>86</v>
      </c>
      <c r="J112" s="798" t="s">
        <v>87</v>
      </c>
    </row>
    <row r="113" spans="1:10" ht="15.75" hidden="1" customHeight="1" outlineLevel="1" thickBot="1" x14ac:dyDescent="0.3">
      <c r="A113" s="83"/>
      <c r="B113" s="1190" t="s">
        <v>874</v>
      </c>
      <c r="C113" s="806" t="s">
        <v>148</v>
      </c>
      <c r="D113" s="806" t="s">
        <v>148</v>
      </c>
      <c r="E113" s="806" t="s">
        <v>148</v>
      </c>
      <c r="F113" s="806" t="s">
        <v>148</v>
      </c>
      <c r="G113" s="806" t="s">
        <v>148</v>
      </c>
      <c r="H113" s="806" t="s">
        <v>148</v>
      </c>
      <c r="I113" s="806" t="s">
        <v>148</v>
      </c>
      <c r="J113" s="799"/>
    </row>
    <row r="114" spans="1:10" ht="15.75" customHeight="1" collapsed="1" thickBot="1" x14ac:dyDescent="0.3">
      <c r="A114" s="85" t="s">
        <v>68</v>
      </c>
      <c r="B114" s="117" t="s">
        <v>86</v>
      </c>
      <c r="C114" s="118" t="s">
        <v>87</v>
      </c>
      <c r="D114" s="118" t="s">
        <v>87</v>
      </c>
      <c r="E114" s="118" t="s">
        <v>87</v>
      </c>
      <c r="F114" s="118" t="s">
        <v>86</v>
      </c>
      <c r="G114" s="118" t="s">
        <v>87</v>
      </c>
      <c r="H114" s="118" t="s">
        <v>87</v>
      </c>
      <c r="I114" s="118" t="s">
        <v>87</v>
      </c>
      <c r="J114" s="798" t="s">
        <v>87</v>
      </c>
    </row>
    <row r="115" spans="1:10" ht="15.75" hidden="1" customHeight="1" outlineLevel="1" x14ac:dyDescent="0.25">
      <c r="A115" s="83"/>
      <c r="B115" s="809" t="s">
        <v>150</v>
      </c>
      <c r="C115" s="120"/>
      <c r="D115" s="120"/>
      <c r="E115" s="120"/>
      <c r="F115" s="809" t="s">
        <v>150</v>
      </c>
      <c r="G115" s="120"/>
      <c r="H115" s="120"/>
      <c r="I115" s="120"/>
      <c r="J115" s="799"/>
    </row>
    <row r="116" spans="1:10" ht="15.75" hidden="1" customHeight="1" outlineLevel="1" x14ac:dyDescent="0.25">
      <c r="A116" s="85" t="s">
        <v>69</v>
      </c>
      <c r="B116" s="126" t="s">
        <v>87</v>
      </c>
      <c r="C116" s="127" t="s">
        <v>87</v>
      </c>
      <c r="D116" s="127" t="s">
        <v>87</v>
      </c>
      <c r="E116" s="127" t="s">
        <v>87</v>
      </c>
      <c r="F116" s="127" t="s">
        <v>87</v>
      </c>
      <c r="G116" s="127" t="s">
        <v>87</v>
      </c>
      <c r="H116" s="127" t="s">
        <v>87</v>
      </c>
      <c r="I116" s="127" t="s">
        <v>87</v>
      </c>
      <c r="J116" s="812" t="s">
        <v>87</v>
      </c>
    </row>
    <row r="117" spans="1:10" ht="15.75" hidden="1" customHeight="1" outlineLevel="1" thickBot="1" x14ac:dyDescent="0.3">
      <c r="A117" s="83"/>
      <c r="B117" s="119"/>
      <c r="C117" s="120"/>
      <c r="D117" s="120"/>
      <c r="E117" s="120"/>
      <c r="F117" s="120"/>
      <c r="G117" s="120"/>
      <c r="H117" s="120"/>
      <c r="I117" s="120"/>
      <c r="J117" s="799"/>
    </row>
    <row r="118" spans="1:10" ht="15.75" customHeight="1" collapsed="1" thickBot="1" x14ac:dyDescent="0.3">
      <c r="A118" s="85" t="s">
        <v>57</v>
      </c>
      <c r="B118" s="117" t="s">
        <v>86</v>
      </c>
      <c r="C118" s="118" t="s">
        <v>88</v>
      </c>
      <c r="D118" s="118" t="s">
        <v>86</v>
      </c>
      <c r="E118" s="118" t="s">
        <v>87</v>
      </c>
      <c r="F118" s="118" t="s">
        <v>88</v>
      </c>
      <c r="G118" s="118" t="s">
        <v>87</v>
      </c>
      <c r="H118" s="118" t="s">
        <v>87</v>
      </c>
      <c r="I118" s="118" t="s">
        <v>86</v>
      </c>
      <c r="J118" s="798" t="s">
        <v>87</v>
      </c>
    </row>
    <row r="119" spans="1:10" ht="15.75" hidden="1" customHeight="1" outlineLevel="1" thickBot="1" x14ac:dyDescent="0.3">
      <c r="A119" s="126"/>
      <c r="B119" s="126"/>
      <c r="C119" s="807" t="s">
        <v>1015</v>
      </c>
      <c r="D119" s="807" t="s">
        <v>149</v>
      </c>
      <c r="E119" s="120"/>
      <c r="F119" s="808" t="s">
        <v>902</v>
      </c>
      <c r="G119" s="120"/>
      <c r="H119" s="120"/>
      <c r="I119" s="807" t="s">
        <v>149</v>
      </c>
      <c r="J119" s="799"/>
    </row>
    <row r="120" spans="1:10" ht="15.75" customHeight="1" collapsed="1" thickBot="1" x14ac:dyDescent="0.3">
      <c r="A120" s="85" t="s">
        <v>58</v>
      </c>
      <c r="B120" s="117" t="s">
        <v>88</v>
      </c>
      <c r="C120" s="118" t="s">
        <v>87</v>
      </c>
      <c r="D120" s="118" t="s">
        <v>87</v>
      </c>
      <c r="E120" s="118" t="s">
        <v>87</v>
      </c>
      <c r="F120" s="118" t="s">
        <v>86</v>
      </c>
      <c r="G120" s="118" t="s">
        <v>87</v>
      </c>
      <c r="H120" s="118" t="s">
        <v>87</v>
      </c>
      <c r="I120" s="118" t="s">
        <v>86</v>
      </c>
      <c r="J120" s="798" t="s">
        <v>87</v>
      </c>
    </row>
    <row r="121" spans="1:10" ht="15.75" hidden="1" customHeight="1" outlineLevel="1" thickBot="1" x14ac:dyDescent="0.3">
      <c r="A121" s="83"/>
      <c r="B121" s="131" t="s">
        <v>902</v>
      </c>
      <c r="C121" s="120"/>
      <c r="D121" s="120"/>
      <c r="E121" s="120"/>
      <c r="F121" s="809" t="s">
        <v>150</v>
      </c>
      <c r="G121" s="120"/>
      <c r="H121" s="120"/>
      <c r="I121" s="807" t="s">
        <v>149</v>
      </c>
      <c r="J121" s="799"/>
    </row>
    <row r="122" spans="1:10" ht="15.75" customHeight="1" collapsed="1" thickBot="1" x14ac:dyDescent="0.3">
      <c r="A122" s="85" t="s">
        <v>59</v>
      </c>
      <c r="B122" s="117" t="s">
        <v>87</v>
      </c>
      <c r="C122" s="118" t="s">
        <v>87</v>
      </c>
      <c r="D122" s="118" t="s">
        <v>86</v>
      </c>
      <c r="E122" s="118" t="s">
        <v>87</v>
      </c>
      <c r="F122" s="118" t="s">
        <v>87</v>
      </c>
      <c r="G122" s="118" t="s">
        <v>86</v>
      </c>
      <c r="H122" s="118" t="s">
        <v>87</v>
      </c>
      <c r="I122" s="118" t="s">
        <v>87</v>
      </c>
      <c r="J122" s="798" t="s">
        <v>87</v>
      </c>
    </row>
    <row r="123" spans="1:10" ht="15.75" hidden="1" customHeight="1" outlineLevel="1" thickBot="1" x14ac:dyDescent="0.3">
      <c r="A123" s="83"/>
      <c r="B123" s="119"/>
      <c r="C123" s="120"/>
      <c r="D123" s="808" t="s">
        <v>900</v>
      </c>
      <c r="E123" s="120"/>
      <c r="F123" s="120"/>
      <c r="G123" s="807" t="s">
        <v>149</v>
      </c>
      <c r="H123" s="120"/>
      <c r="I123" s="120"/>
      <c r="J123" s="799"/>
    </row>
    <row r="124" spans="1:10" ht="15.75" customHeight="1" collapsed="1" thickBot="1" x14ac:dyDescent="0.3">
      <c r="A124" s="85" t="s">
        <v>60</v>
      </c>
      <c r="B124" s="117" t="s">
        <v>88</v>
      </c>
      <c r="C124" s="118" t="s">
        <v>88</v>
      </c>
      <c r="D124" s="118" t="s">
        <v>86</v>
      </c>
      <c r="E124" s="118" t="s">
        <v>87</v>
      </c>
      <c r="F124" s="118" t="s">
        <v>87</v>
      </c>
      <c r="G124" s="118" t="s">
        <v>86</v>
      </c>
      <c r="H124" s="118" t="s">
        <v>87</v>
      </c>
      <c r="I124" s="118" t="s">
        <v>86</v>
      </c>
      <c r="J124" s="798" t="s">
        <v>87</v>
      </c>
    </row>
    <row r="125" spans="1:10" ht="15.75" hidden="1" customHeight="1" outlineLevel="1" thickBot="1" x14ac:dyDescent="0.3">
      <c r="A125" s="83"/>
      <c r="B125" s="807" t="s">
        <v>1000</v>
      </c>
      <c r="C125" s="807" t="s">
        <v>901</v>
      </c>
      <c r="D125" s="808" t="s">
        <v>900</v>
      </c>
      <c r="E125" s="120"/>
      <c r="F125" s="120"/>
      <c r="G125" s="807" t="s">
        <v>149</v>
      </c>
      <c r="H125" s="120"/>
      <c r="I125" s="808" t="s">
        <v>1017</v>
      </c>
      <c r="J125" s="799"/>
    </row>
    <row r="126" spans="1:10" ht="15.75" customHeight="1" collapsed="1" thickBot="1" x14ac:dyDescent="0.3">
      <c r="A126" s="85" t="s">
        <v>61</v>
      </c>
      <c r="B126" s="117" t="s">
        <v>86</v>
      </c>
      <c r="C126" s="118" t="s">
        <v>87</v>
      </c>
      <c r="D126" s="118" t="s">
        <v>87</v>
      </c>
      <c r="E126" s="118" t="s">
        <v>87</v>
      </c>
      <c r="F126" s="118" t="s">
        <v>86</v>
      </c>
      <c r="G126" s="118" t="s">
        <v>87</v>
      </c>
      <c r="H126" s="118" t="s">
        <v>87</v>
      </c>
      <c r="I126" s="118" t="s">
        <v>87</v>
      </c>
      <c r="J126" s="798" t="s">
        <v>87</v>
      </c>
    </row>
    <row r="127" spans="1:10" ht="15.75" hidden="1" customHeight="1" outlineLevel="1" thickBot="1" x14ac:dyDescent="0.3">
      <c r="A127" s="83"/>
      <c r="B127" s="124" t="s">
        <v>148</v>
      </c>
      <c r="C127" s="120"/>
      <c r="D127" s="120"/>
      <c r="E127" s="120"/>
      <c r="F127" s="808" t="s">
        <v>900</v>
      </c>
      <c r="G127" s="120"/>
      <c r="H127" s="120"/>
      <c r="I127" s="120"/>
      <c r="J127" s="799"/>
    </row>
    <row r="128" spans="1:10" ht="15.75" customHeight="1" collapsed="1" thickBot="1" x14ac:dyDescent="0.3">
      <c r="A128" s="85" t="s">
        <v>62</v>
      </c>
      <c r="B128" s="117" t="s">
        <v>87</v>
      </c>
      <c r="C128" s="118" t="s">
        <v>86</v>
      </c>
      <c r="D128" s="118" t="s">
        <v>88</v>
      </c>
      <c r="E128" s="118" t="s">
        <v>87</v>
      </c>
      <c r="F128" s="118" t="s">
        <v>87</v>
      </c>
      <c r="G128" s="118" t="s">
        <v>86</v>
      </c>
      <c r="H128" s="118" t="s">
        <v>87</v>
      </c>
      <c r="I128" s="118" t="s">
        <v>86</v>
      </c>
      <c r="J128" s="798" t="s">
        <v>87</v>
      </c>
    </row>
    <row r="129" spans="1:10" ht="15.75" hidden="1" customHeight="1" outlineLevel="1" thickBot="1" x14ac:dyDescent="0.3">
      <c r="A129" s="83"/>
      <c r="B129" s="119"/>
      <c r="C129" s="807" t="s">
        <v>149</v>
      </c>
      <c r="D129" s="807" t="s">
        <v>1016</v>
      </c>
      <c r="E129" s="120"/>
      <c r="F129" s="120"/>
      <c r="G129" s="807" t="s">
        <v>149</v>
      </c>
      <c r="H129" s="120"/>
      <c r="I129" s="807" t="s">
        <v>149</v>
      </c>
      <c r="J129" s="799"/>
    </row>
    <row r="130" spans="1:10" ht="15.75" customHeight="1" collapsed="1" thickBot="1" x14ac:dyDescent="0.3">
      <c r="A130" s="85" t="s">
        <v>23</v>
      </c>
      <c r="B130" s="117" t="s">
        <v>87</v>
      </c>
      <c r="C130" s="118" t="s">
        <v>87</v>
      </c>
      <c r="D130" s="118" t="s">
        <v>87</v>
      </c>
      <c r="E130" s="118" t="s">
        <v>86</v>
      </c>
      <c r="F130" s="118" t="s">
        <v>86</v>
      </c>
      <c r="G130" s="118" t="s">
        <v>86</v>
      </c>
      <c r="H130" s="118" t="s">
        <v>86</v>
      </c>
      <c r="I130" s="118" t="s">
        <v>88</v>
      </c>
      <c r="J130" s="798" t="s">
        <v>86</v>
      </c>
    </row>
    <row r="131" spans="1:10" ht="15.75" hidden="1" customHeight="1" outlineLevel="1" thickBot="1" x14ac:dyDescent="0.3">
      <c r="A131" s="83"/>
      <c r="B131" s="119"/>
      <c r="C131" s="120"/>
      <c r="D131" s="120"/>
      <c r="E131" s="807" t="s">
        <v>149</v>
      </c>
      <c r="F131" s="120" t="s">
        <v>1017</v>
      </c>
      <c r="G131" s="808" t="s">
        <v>900</v>
      </c>
      <c r="H131" s="807" t="s">
        <v>149</v>
      </c>
      <c r="I131" s="808" t="s">
        <v>929</v>
      </c>
      <c r="J131" s="799" t="s">
        <v>290</v>
      </c>
    </row>
    <row r="132" spans="1:10" ht="15.75" customHeight="1" collapsed="1" thickBot="1" x14ac:dyDescent="0.3">
      <c r="A132" s="85" t="s">
        <v>24</v>
      </c>
      <c r="B132" s="117" t="s">
        <v>86</v>
      </c>
      <c r="C132" s="118" t="s">
        <v>86</v>
      </c>
      <c r="D132" s="118" t="s">
        <v>87</v>
      </c>
      <c r="E132" s="118" t="s">
        <v>86</v>
      </c>
      <c r="F132" s="118" t="s">
        <v>86</v>
      </c>
      <c r="G132" s="118" t="s">
        <v>86</v>
      </c>
      <c r="H132" s="118" t="s">
        <v>86</v>
      </c>
      <c r="I132" s="118" t="s">
        <v>86</v>
      </c>
      <c r="J132" s="798" t="s">
        <v>87</v>
      </c>
    </row>
    <row r="133" spans="1:10" ht="15.75" hidden="1" customHeight="1" outlineLevel="1" thickBot="1" x14ac:dyDescent="0.3">
      <c r="A133" s="83"/>
      <c r="B133" s="195" t="s">
        <v>149</v>
      </c>
      <c r="C133" s="807" t="s">
        <v>149</v>
      </c>
      <c r="D133" s="120"/>
      <c r="E133" s="807" t="s">
        <v>149</v>
      </c>
      <c r="F133" s="807" t="s">
        <v>149</v>
      </c>
      <c r="G133" s="807" t="s">
        <v>149</v>
      </c>
      <c r="H133" s="807" t="s">
        <v>149</v>
      </c>
      <c r="I133" s="814" t="s">
        <v>148</v>
      </c>
      <c r="J133" s="799"/>
    </row>
    <row r="134" spans="1:10" ht="15.75" customHeight="1" collapsed="1" thickBot="1" x14ac:dyDescent="0.3">
      <c r="A134" s="85" t="s">
        <v>63</v>
      </c>
      <c r="B134" s="117" t="s">
        <v>87</v>
      </c>
      <c r="C134" s="118" t="s">
        <v>87</v>
      </c>
      <c r="D134" s="118" t="s">
        <v>87</v>
      </c>
      <c r="E134" s="118" t="s">
        <v>86</v>
      </c>
      <c r="F134" s="118" t="s">
        <v>87</v>
      </c>
      <c r="G134" s="118" t="s">
        <v>86</v>
      </c>
      <c r="H134" s="118" t="s">
        <v>87</v>
      </c>
      <c r="I134" s="118" t="s">
        <v>86</v>
      </c>
      <c r="J134" s="798" t="s">
        <v>87</v>
      </c>
    </row>
    <row r="135" spans="1:10" ht="15.75" hidden="1" customHeight="1" outlineLevel="1" thickBot="1" x14ac:dyDescent="0.3">
      <c r="A135" s="83"/>
      <c r="B135" s="129"/>
      <c r="C135" s="125"/>
      <c r="D135" s="125"/>
      <c r="E135" s="813" t="s">
        <v>149</v>
      </c>
      <c r="F135" s="125"/>
      <c r="G135" s="814" t="s">
        <v>148</v>
      </c>
      <c r="H135" s="125"/>
      <c r="I135" s="808" t="s">
        <v>900</v>
      </c>
      <c r="J135" s="815"/>
    </row>
    <row r="136" spans="1:10" ht="7.5" hidden="1" customHeight="1" outlineLevel="1" collapsed="1" thickBot="1" x14ac:dyDescent="0.3">
      <c r="A136" s="34"/>
      <c r="B136" s="117"/>
      <c r="C136" s="118"/>
      <c r="D136" s="118"/>
      <c r="E136" s="118"/>
      <c r="F136" s="118"/>
      <c r="G136" s="118"/>
      <c r="H136" s="118"/>
      <c r="I136" s="118"/>
      <c r="J136" s="118"/>
    </row>
    <row r="137" spans="1:10" ht="15.75" customHeight="1" collapsed="1" thickBot="1" x14ac:dyDescent="0.3">
      <c r="A137" s="85" t="s">
        <v>72</v>
      </c>
      <c r="B137" s="117" t="s">
        <v>86</v>
      </c>
      <c r="C137" s="118" t="s">
        <v>87</v>
      </c>
      <c r="D137" s="118" t="s">
        <v>86</v>
      </c>
      <c r="E137" s="118" t="s">
        <v>88</v>
      </c>
      <c r="F137" s="118" t="s">
        <v>86</v>
      </c>
      <c r="G137" s="118" t="s">
        <v>88</v>
      </c>
      <c r="H137" s="118" t="s">
        <v>88</v>
      </c>
      <c r="I137" s="118" t="s">
        <v>88</v>
      </c>
      <c r="J137" s="798"/>
    </row>
    <row r="138" spans="1:10" ht="15.75" hidden="1" customHeight="1" outlineLevel="1" thickBot="1" x14ac:dyDescent="0.3">
      <c r="A138" s="87"/>
      <c r="B138" s="128" t="s">
        <v>900</v>
      </c>
      <c r="C138" s="120"/>
      <c r="D138" s="121" t="s">
        <v>900</v>
      </c>
      <c r="E138" s="121" t="s">
        <v>987</v>
      </c>
      <c r="F138" s="121" t="s">
        <v>900</v>
      </c>
      <c r="G138" s="121" t="s">
        <v>987</v>
      </c>
      <c r="H138" s="121" t="s">
        <v>900</v>
      </c>
      <c r="I138" s="121" t="s">
        <v>987</v>
      </c>
      <c r="J138" s="799"/>
    </row>
    <row r="139" spans="1:10" ht="15.75" customHeight="1" collapsed="1" thickBot="1" x14ac:dyDescent="0.3">
      <c r="A139" s="85" t="s">
        <v>73</v>
      </c>
      <c r="B139" s="117" t="s">
        <v>87</v>
      </c>
      <c r="C139" s="118" t="s">
        <v>87</v>
      </c>
      <c r="D139" s="118" t="s">
        <v>87</v>
      </c>
      <c r="E139" s="118" t="s">
        <v>88</v>
      </c>
      <c r="F139" s="118" t="s">
        <v>87</v>
      </c>
      <c r="G139" s="118" t="s">
        <v>87</v>
      </c>
      <c r="H139" s="118" t="s">
        <v>88</v>
      </c>
      <c r="I139" s="118" t="s">
        <v>87</v>
      </c>
      <c r="J139" s="798"/>
    </row>
    <row r="140" spans="1:10" ht="15.75" hidden="1" customHeight="1" outlineLevel="1" thickBot="1" x14ac:dyDescent="0.3">
      <c r="A140" s="87"/>
      <c r="B140" s="131"/>
      <c r="C140" s="120"/>
      <c r="D140" s="120"/>
      <c r="E140" s="121" t="s">
        <v>987</v>
      </c>
      <c r="F140" s="120"/>
      <c r="G140" s="120"/>
      <c r="H140" s="121" t="s">
        <v>900</v>
      </c>
      <c r="I140" s="120"/>
      <c r="J140" s="799"/>
    </row>
    <row r="141" spans="1:10" ht="15.75" customHeight="1" collapsed="1" thickBot="1" x14ac:dyDescent="0.3">
      <c r="A141" s="85" t="s">
        <v>122</v>
      </c>
      <c r="B141" s="117" t="s">
        <v>87</v>
      </c>
      <c r="C141" s="118" t="s">
        <v>87</v>
      </c>
      <c r="D141" s="118" t="s">
        <v>87</v>
      </c>
      <c r="E141" s="118" t="s">
        <v>87</v>
      </c>
      <c r="F141" s="118" t="s">
        <v>87</v>
      </c>
      <c r="G141" s="118" t="s">
        <v>87</v>
      </c>
      <c r="H141" s="118" t="s">
        <v>86</v>
      </c>
      <c r="I141" s="118" t="s">
        <v>87</v>
      </c>
      <c r="J141" s="798"/>
    </row>
    <row r="142" spans="1:10" ht="15.75" hidden="1" customHeight="1" outlineLevel="1" thickBot="1" x14ac:dyDescent="0.3">
      <c r="A142" s="87"/>
      <c r="B142" s="131"/>
      <c r="C142" s="120"/>
      <c r="D142" s="120"/>
      <c r="E142" s="120"/>
      <c r="F142" s="120"/>
      <c r="G142" s="120"/>
      <c r="H142" s="121" t="s">
        <v>900</v>
      </c>
      <c r="I142" s="120"/>
      <c r="J142" s="799"/>
    </row>
    <row r="143" spans="1:10" ht="15.75" hidden="1" customHeight="1" outlineLevel="1" x14ac:dyDescent="0.25">
      <c r="A143" s="85" t="s">
        <v>100</v>
      </c>
      <c r="B143" s="117" t="s">
        <v>87</v>
      </c>
      <c r="C143" s="118" t="s">
        <v>87</v>
      </c>
      <c r="D143" s="118" t="s">
        <v>87</v>
      </c>
      <c r="E143" s="118" t="s">
        <v>87</v>
      </c>
      <c r="F143" s="118" t="s">
        <v>87</v>
      </c>
      <c r="G143" s="118" t="s">
        <v>87</v>
      </c>
      <c r="H143" s="118" t="s">
        <v>87</v>
      </c>
      <c r="I143" s="118" t="s">
        <v>87</v>
      </c>
      <c r="J143" s="798"/>
    </row>
    <row r="144" spans="1:10" ht="15.75" hidden="1" customHeight="1" outlineLevel="1" thickBot="1" x14ac:dyDescent="0.3">
      <c r="A144" s="87"/>
      <c r="B144" s="816"/>
      <c r="C144" s="125"/>
      <c r="D144" s="125"/>
      <c r="E144" s="125"/>
      <c r="F144" s="125"/>
      <c r="G144" s="125"/>
      <c r="H144" s="125"/>
      <c r="I144" s="125"/>
      <c r="J144" s="815"/>
    </row>
    <row r="145" spans="1:10" ht="15.75" customHeight="1" collapsed="1" thickBot="1" x14ac:dyDescent="0.3">
      <c r="A145" s="85" t="s">
        <v>74</v>
      </c>
      <c r="B145" s="117" t="s">
        <v>86</v>
      </c>
      <c r="C145" s="118" t="s">
        <v>86</v>
      </c>
      <c r="D145" s="118" t="s">
        <v>86</v>
      </c>
      <c r="E145" s="118" t="s">
        <v>88</v>
      </c>
      <c r="F145" s="118" t="s">
        <v>86</v>
      </c>
      <c r="G145" s="118" t="s">
        <v>88</v>
      </c>
      <c r="H145" s="118" t="s">
        <v>88</v>
      </c>
      <c r="I145" s="118" t="s">
        <v>88</v>
      </c>
      <c r="J145" s="118" t="s">
        <v>86</v>
      </c>
    </row>
    <row r="146" spans="1:10" ht="15.75" hidden="1" customHeight="1" outlineLevel="1" thickBot="1" x14ac:dyDescent="0.3">
      <c r="A146" s="87"/>
      <c r="B146" s="128" t="s">
        <v>900</v>
      </c>
      <c r="C146" s="121" t="s">
        <v>900</v>
      </c>
      <c r="D146" s="121" t="s">
        <v>900</v>
      </c>
      <c r="E146" s="121" t="s">
        <v>987</v>
      </c>
      <c r="F146" s="121" t="s">
        <v>900</v>
      </c>
      <c r="G146" s="121" t="s">
        <v>987</v>
      </c>
      <c r="H146" s="121" t="s">
        <v>900</v>
      </c>
      <c r="I146" s="121" t="s">
        <v>987</v>
      </c>
      <c r="J146" s="120" t="s">
        <v>290</v>
      </c>
    </row>
    <row r="147" spans="1:10" ht="15.75" customHeight="1" collapsed="1" x14ac:dyDescent="0.25">
      <c r="A147" s="85" t="s">
        <v>101</v>
      </c>
      <c r="B147" s="117" t="s">
        <v>87</v>
      </c>
      <c r="C147" s="118" t="s">
        <v>86</v>
      </c>
      <c r="D147" s="118" t="s">
        <v>86</v>
      </c>
      <c r="E147" s="118" t="s">
        <v>88</v>
      </c>
      <c r="F147" s="118" t="s">
        <v>86</v>
      </c>
      <c r="G147" s="118" t="s">
        <v>88</v>
      </c>
      <c r="H147" s="118" t="s">
        <v>89</v>
      </c>
      <c r="I147" s="118" t="s">
        <v>88</v>
      </c>
      <c r="J147" s="118"/>
    </row>
    <row r="148" spans="1:10" ht="15.75" customHeight="1" thickBot="1" x14ac:dyDescent="0.3">
      <c r="A148" s="82"/>
      <c r="B148" s="126"/>
      <c r="C148" s="132" t="s">
        <v>1057</v>
      </c>
      <c r="D148" s="133" t="s">
        <v>664</v>
      </c>
      <c r="E148" s="133" t="s">
        <v>949</v>
      </c>
      <c r="F148" s="133" t="s">
        <v>250</v>
      </c>
      <c r="G148" s="133" t="s">
        <v>133</v>
      </c>
      <c r="H148" s="133" t="s">
        <v>1055</v>
      </c>
      <c r="I148" s="133" t="s">
        <v>133</v>
      </c>
      <c r="J148" s="127"/>
    </row>
    <row r="149" spans="1:10" ht="15.75" hidden="1" customHeight="1" outlineLevel="1" thickBot="1" x14ac:dyDescent="0.3">
      <c r="A149" s="87"/>
      <c r="B149" s="129"/>
      <c r="C149" s="121" t="s">
        <v>900</v>
      </c>
      <c r="D149" s="121" t="s">
        <v>900</v>
      </c>
      <c r="E149" s="814" t="s">
        <v>687</v>
      </c>
      <c r="F149" s="121" t="s">
        <v>900</v>
      </c>
      <c r="G149" s="121" t="s">
        <v>987</v>
      </c>
      <c r="H149" s="121" t="s">
        <v>1017</v>
      </c>
      <c r="I149" s="121" t="s">
        <v>987</v>
      </c>
      <c r="J149" s="125"/>
    </row>
    <row r="150" spans="1:10" ht="15.75" customHeight="1" collapsed="1" x14ac:dyDescent="0.25">
      <c r="A150" s="85" t="s">
        <v>101</v>
      </c>
      <c r="B150" s="117"/>
      <c r="C150" s="118"/>
      <c r="D150" s="118" t="s">
        <v>86</v>
      </c>
      <c r="E150" s="118"/>
      <c r="F150" s="118"/>
      <c r="G150" s="118"/>
      <c r="H150" s="118" t="s">
        <v>88</v>
      </c>
      <c r="I150" s="118"/>
      <c r="J150" s="118"/>
    </row>
    <row r="151" spans="1:10" ht="15.75" customHeight="1" thickBot="1" x14ac:dyDescent="0.3">
      <c r="A151" s="82"/>
      <c r="B151" s="126"/>
      <c r="C151" s="127"/>
      <c r="D151" s="133" t="s">
        <v>688</v>
      </c>
      <c r="E151" s="127"/>
      <c r="F151" s="127"/>
      <c r="G151" s="127"/>
      <c r="H151" s="133" t="s">
        <v>1056</v>
      </c>
      <c r="I151" s="127"/>
      <c r="J151" s="127"/>
    </row>
    <row r="152" spans="1:10" ht="15.75" hidden="1" customHeight="1" outlineLevel="1" thickBot="1" x14ac:dyDescent="0.3">
      <c r="A152" s="87"/>
      <c r="B152" s="129"/>
      <c r="C152" s="125"/>
      <c r="D152" s="814" t="s">
        <v>687</v>
      </c>
      <c r="E152" s="125"/>
      <c r="F152" s="125"/>
      <c r="G152" s="125"/>
      <c r="H152" s="121" t="s">
        <v>1017</v>
      </c>
      <c r="I152" s="125"/>
      <c r="J152" s="125"/>
    </row>
    <row r="153" spans="1:10" ht="7.5" hidden="1" customHeight="1" outlineLevel="1" collapsed="1" thickBot="1" x14ac:dyDescent="0.3">
      <c r="A153" s="34"/>
      <c r="B153" s="130"/>
      <c r="C153" s="130"/>
      <c r="D153" s="130"/>
      <c r="E153" s="130"/>
      <c r="F153" s="130"/>
      <c r="G153" s="130"/>
      <c r="H153" s="130"/>
      <c r="I153" s="130"/>
      <c r="J153" s="130"/>
    </row>
    <row r="154" spans="1:10" ht="15.75" customHeight="1" collapsed="1" thickBot="1" x14ac:dyDescent="0.3">
      <c r="A154" s="85" t="s">
        <v>75</v>
      </c>
      <c r="B154" s="117" t="s">
        <v>86</v>
      </c>
      <c r="C154" s="830" t="s">
        <v>87</v>
      </c>
      <c r="D154" s="118" t="s">
        <v>86</v>
      </c>
      <c r="E154" s="118" t="s">
        <v>86</v>
      </c>
      <c r="F154" s="118" t="s">
        <v>87</v>
      </c>
      <c r="G154" s="118" t="s">
        <v>86</v>
      </c>
      <c r="H154" s="118" t="s">
        <v>86</v>
      </c>
      <c r="I154" s="118" t="s">
        <v>86</v>
      </c>
      <c r="J154" s="118"/>
    </row>
    <row r="155" spans="1:10" ht="15.75" hidden="1" customHeight="1" outlineLevel="1" thickBot="1" x14ac:dyDescent="0.3">
      <c r="A155" s="87"/>
      <c r="B155" s="128" t="s">
        <v>900</v>
      </c>
      <c r="C155" s="831"/>
      <c r="D155" s="121" t="s">
        <v>900</v>
      </c>
      <c r="E155" s="121" t="s">
        <v>900</v>
      </c>
      <c r="F155" s="125"/>
      <c r="G155" s="121" t="s">
        <v>900</v>
      </c>
      <c r="H155" s="121" t="s">
        <v>900</v>
      </c>
      <c r="I155" s="121" t="s">
        <v>900</v>
      </c>
      <c r="J155" s="120"/>
    </row>
    <row r="156" spans="1:10" ht="15.75" customHeight="1" collapsed="1" thickBot="1" x14ac:dyDescent="0.3">
      <c r="A156" s="85" t="s">
        <v>78</v>
      </c>
      <c r="B156" s="117" t="s">
        <v>86</v>
      </c>
      <c r="C156" s="118" t="s">
        <v>87</v>
      </c>
      <c r="D156" s="118" t="s">
        <v>87</v>
      </c>
      <c r="E156" s="118" t="s">
        <v>86</v>
      </c>
      <c r="F156" s="118" t="s">
        <v>87</v>
      </c>
      <c r="G156" s="118" t="s">
        <v>87</v>
      </c>
      <c r="H156" s="118" t="s">
        <v>86</v>
      </c>
      <c r="I156" s="118" t="s">
        <v>87</v>
      </c>
      <c r="J156" s="118"/>
    </row>
    <row r="157" spans="1:10" ht="15.75" hidden="1" customHeight="1" outlineLevel="1" thickBot="1" x14ac:dyDescent="0.3">
      <c r="A157" s="87"/>
      <c r="B157" s="128" t="s">
        <v>900</v>
      </c>
      <c r="C157" s="120"/>
      <c r="D157" s="120"/>
      <c r="E157" s="121" t="s">
        <v>900</v>
      </c>
      <c r="F157" s="120"/>
      <c r="G157" s="120"/>
      <c r="H157" s="121" t="s">
        <v>900</v>
      </c>
      <c r="I157" s="120"/>
      <c r="J157" s="120"/>
    </row>
    <row r="158" spans="1:10" ht="15.75" customHeight="1" collapsed="1" thickBot="1" x14ac:dyDescent="0.3">
      <c r="A158" s="85" t="s">
        <v>76</v>
      </c>
      <c r="B158" s="117" t="s">
        <v>87</v>
      </c>
      <c r="C158" s="118" t="s">
        <v>87</v>
      </c>
      <c r="D158" s="118" t="s">
        <v>87</v>
      </c>
      <c r="E158" s="118" t="s">
        <v>87</v>
      </c>
      <c r="F158" s="118" t="s">
        <v>87</v>
      </c>
      <c r="G158" s="118" t="s">
        <v>87</v>
      </c>
      <c r="H158" s="118" t="s">
        <v>86</v>
      </c>
      <c r="I158" s="118" t="s">
        <v>87</v>
      </c>
      <c r="J158" s="118"/>
    </row>
    <row r="159" spans="1:10" ht="15.75" hidden="1" customHeight="1" outlineLevel="1" thickBot="1" x14ac:dyDescent="0.3">
      <c r="A159" s="87"/>
      <c r="B159" s="119"/>
      <c r="C159" s="120"/>
      <c r="D159" s="120"/>
      <c r="E159" s="120"/>
      <c r="F159" s="120"/>
      <c r="G159" s="120"/>
      <c r="H159" s="121" t="s">
        <v>900</v>
      </c>
      <c r="I159" s="120"/>
      <c r="J159" s="120"/>
    </row>
    <row r="160" spans="1:10" ht="15.75" customHeight="1" collapsed="1" thickBot="1" x14ac:dyDescent="0.3">
      <c r="A160" s="85" t="s">
        <v>134</v>
      </c>
      <c r="B160" s="117" t="s">
        <v>86</v>
      </c>
      <c r="C160" s="118" t="s">
        <v>86</v>
      </c>
      <c r="D160" s="118" t="s">
        <v>86</v>
      </c>
      <c r="E160" s="118" t="s">
        <v>86</v>
      </c>
      <c r="F160" s="118" t="s">
        <v>86</v>
      </c>
      <c r="G160" s="118" t="s">
        <v>86</v>
      </c>
      <c r="H160" s="118" t="s">
        <v>86</v>
      </c>
      <c r="I160" s="118" t="s">
        <v>86</v>
      </c>
      <c r="J160" s="118" t="s">
        <v>86</v>
      </c>
    </row>
    <row r="161" spans="1:10" ht="15.75" hidden="1" customHeight="1" outlineLevel="1" thickBot="1" x14ac:dyDescent="0.3">
      <c r="A161" s="87"/>
      <c r="B161" s="128" t="s">
        <v>900</v>
      </c>
      <c r="C161" s="121" t="s">
        <v>900</v>
      </c>
      <c r="D161" s="121" t="s">
        <v>900</v>
      </c>
      <c r="E161" s="121" t="s">
        <v>900</v>
      </c>
      <c r="F161" s="121" t="s">
        <v>900</v>
      </c>
      <c r="G161" s="121" t="s">
        <v>900</v>
      </c>
      <c r="H161" s="121" t="s">
        <v>900</v>
      </c>
      <c r="I161" s="121" t="s">
        <v>900</v>
      </c>
      <c r="J161" s="120" t="s">
        <v>290</v>
      </c>
    </row>
    <row r="162" spans="1:10" ht="7.5" hidden="1" customHeight="1" outlineLevel="1" collapsed="1" thickBot="1" x14ac:dyDescent="0.3">
      <c r="A162" s="34"/>
      <c r="B162" s="130"/>
      <c r="C162" s="130"/>
      <c r="D162" s="130"/>
      <c r="E162" s="130"/>
      <c r="F162" s="130"/>
      <c r="G162" s="130"/>
      <c r="H162" s="130"/>
      <c r="I162" s="130"/>
      <c r="J162" s="130"/>
    </row>
    <row r="163" spans="1:10" ht="15.75" customHeight="1" collapsed="1" thickBot="1" x14ac:dyDescent="0.3">
      <c r="A163" s="82" t="s">
        <v>84</v>
      </c>
      <c r="B163" s="117" t="s">
        <v>87</v>
      </c>
      <c r="C163" s="118" t="s">
        <v>87</v>
      </c>
      <c r="D163" s="118" t="s">
        <v>87</v>
      </c>
      <c r="E163" s="118" t="s">
        <v>86</v>
      </c>
      <c r="F163" s="118" t="s">
        <v>87</v>
      </c>
      <c r="G163" s="118" t="s">
        <v>86</v>
      </c>
      <c r="H163" s="118" t="s">
        <v>86</v>
      </c>
      <c r="I163" s="118" t="s">
        <v>86</v>
      </c>
      <c r="J163" s="798" t="s">
        <v>87</v>
      </c>
    </row>
    <row r="164" spans="1:10" ht="15.75" hidden="1" customHeight="1" outlineLevel="1" thickBot="1" x14ac:dyDescent="0.3">
      <c r="A164" s="88"/>
      <c r="B164" s="119"/>
      <c r="C164" s="120"/>
      <c r="D164" s="120"/>
      <c r="E164" s="121" t="s">
        <v>900</v>
      </c>
      <c r="F164" s="120"/>
      <c r="G164" s="121" t="s">
        <v>900</v>
      </c>
      <c r="H164" s="121" t="s">
        <v>900</v>
      </c>
      <c r="I164" s="121" t="s">
        <v>900</v>
      </c>
      <c r="J164" s="799"/>
    </row>
    <row r="165" spans="1:10" ht="15.75" customHeight="1" collapsed="1" thickBot="1" x14ac:dyDescent="0.3">
      <c r="A165" s="86" t="s">
        <v>70</v>
      </c>
      <c r="B165" s="117" t="s">
        <v>86</v>
      </c>
      <c r="C165" s="118" t="s">
        <v>86</v>
      </c>
      <c r="D165" s="118" t="s">
        <v>86</v>
      </c>
      <c r="E165" s="118"/>
      <c r="F165" s="118" t="s">
        <v>86</v>
      </c>
      <c r="G165" s="118" t="s">
        <v>86</v>
      </c>
      <c r="H165" s="118"/>
      <c r="I165" s="118"/>
      <c r="J165" s="798"/>
    </row>
    <row r="166" spans="1:10" ht="15.75" hidden="1" customHeight="1" outlineLevel="1" thickBot="1" x14ac:dyDescent="0.3">
      <c r="A166" s="87"/>
      <c r="B166" s="128" t="s">
        <v>900</v>
      </c>
      <c r="C166" s="121" t="s">
        <v>900</v>
      </c>
      <c r="D166" s="121" t="s">
        <v>900</v>
      </c>
      <c r="E166" s="800"/>
      <c r="F166" s="121" t="s">
        <v>900</v>
      </c>
      <c r="G166" s="801" t="s">
        <v>415</v>
      </c>
      <c r="H166" s="800"/>
      <c r="I166" s="800"/>
      <c r="J166" s="802"/>
    </row>
    <row r="167" spans="1:10" ht="15.75" customHeight="1" collapsed="1" x14ac:dyDescent="0.25">
      <c r="A167" s="86" t="s">
        <v>71</v>
      </c>
      <c r="B167" s="117" t="s">
        <v>86</v>
      </c>
      <c r="C167" s="118" t="s">
        <v>86</v>
      </c>
      <c r="D167" s="118" t="s">
        <v>86</v>
      </c>
      <c r="E167" s="118"/>
      <c r="F167" s="118" t="s">
        <v>86</v>
      </c>
      <c r="G167" s="118" t="s">
        <v>86</v>
      </c>
      <c r="H167" s="118"/>
      <c r="I167" s="118"/>
      <c r="J167" s="798"/>
    </row>
    <row r="168" spans="1:10" ht="15.75" hidden="1" customHeight="1" outlineLevel="1" thickBot="1" x14ac:dyDescent="0.3">
      <c r="A168" s="87"/>
      <c r="B168" s="128" t="s">
        <v>900</v>
      </c>
      <c r="C168" s="121" t="s">
        <v>900</v>
      </c>
      <c r="D168" s="121" t="s">
        <v>900</v>
      </c>
      <c r="E168" s="803"/>
      <c r="F168" s="121" t="s">
        <v>900</v>
      </c>
      <c r="G168" s="804" t="s">
        <v>415</v>
      </c>
      <c r="H168" s="803"/>
      <c r="I168" s="803"/>
      <c r="J168" s="805"/>
    </row>
    <row r="169" spans="1:10" ht="15.75" hidden="1" customHeight="1" outlineLevel="1" thickBot="1" x14ac:dyDescent="0.3">
      <c r="A169" s="34"/>
    </row>
    <row r="170" spans="1:10" ht="15.75" hidden="1" customHeight="1" outlineLevel="1" thickBot="1" x14ac:dyDescent="0.3">
      <c r="A170" s="115" t="s">
        <v>91</v>
      </c>
      <c r="B170" s="95"/>
      <c r="C170" s="95"/>
      <c r="D170" s="95"/>
      <c r="E170" s="95"/>
      <c r="F170" s="95"/>
      <c r="G170" s="95"/>
      <c r="H170" s="95"/>
      <c r="I170" s="95"/>
      <c r="J170" s="95"/>
    </row>
    <row r="171" spans="1:10" ht="15.75" hidden="1" customHeight="1" outlineLevel="1" x14ac:dyDescent="0.25">
      <c r="A171" s="35" t="s">
        <v>22</v>
      </c>
      <c r="B171" s="200">
        <f>IF(B75="Trained",2+'Dés de vie'!B$13)+IF(B75="Expert",4+'Dés de vie'!B$13)+IF(B75="Master",6+'Dés de vie'!B$13)+IF(B75="Legendary",8+'Dés de vie'!B$13)</f>
        <v>9</v>
      </c>
      <c r="C171" s="22">
        <f>IF(C75="Trained",2+'Dés de vie'!C$13)+IF(C75="Expert",4+'Dés de vie'!C$13)+IF(C75="Master",6+'Dés de vie'!C$13)+IF(C75="Legendary",8+'Dés de vie'!C$13)</f>
        <v>7</v>
      </c>
      <c r="D171" s="22">
        <f>IF(D75="Trained",2+'Dés de vie'!D$13)+IF(D75="Expert",4+'Dés de vie'!D$13)+IF(D75="Master",6+'Dés de vie'!D$13)+IF(D75="Legendary",8+'Dés de vie'!D$13)</f>
        <v>9</v>
      </c>
      <c r="E171" s="22">
        <f>IF(E75="Trained",2+'Dés de vie'!E$13)+IF(E75="Expert",4+'Dés de vie'!E$13)+IF(E75="Master",6+'Dés de vie'!E$13)+IF(E75="Legendary",8+'Dés de vie'!E$13)</f>
        <v>9</v>
      </c>
      <c r="F171" s="22">
        <f>IF(F75="Trained",2+'Dés de vie'!F$13)+IF(F75="Expert",4+'Dés de vie'!F$13)+IF(F75="Master",6+'Dés de vie'!F$13)+IF(F75="Legendary",8+'Dés de vie'!F$13)</f>
        <v>9</v>
      </c>
      <c r="G171" s="22">
        <f>IF(G75="Trained",2+'Dés de vie'!G$13)+IF(G75="Expert",4+'Dés de vie'!G$13)+IF(G75="Master",6+'Dés de vie'!G$13)+IF(G75="Legendary",8+'Dés de vie'!G$13)</f>
        <v>9</v>
      </c>
      <c r="H171" s="22">
        <f>IF(H75="Trained",2+'Dés de vie'!H$13)+IF(H75="Expert",4+'Dés de vie'!H$13)+IF(H75="Master",6+'Dés de vie'!H$13)+IF(H75="Legendary",8+'Dés de vie'!H$13)</f>
        <v>9</v>
      </c>
      <c r="I171" s="22">
        <f>IF(I75="Trained",2+'Dés de vie'!I$13)+IF(I75="Expert",4+'Dés de vie'!I$13)+IF(I75="Master",6+'Dés de vie'!I$13)+IF(I75="Legendary",8+'Dés de vie'!I$13)</f>
        <v>9</v>
      </c>
      <c r="J171" s="22">
        <f>IF(J75="Trained",2+'Dés de vie'!J$13)+IF(J75="Expert",4+'Dés de vie'!J$13)+IF(J75="Master",6+'Dés de vie'!J$13)+IF(J75="Legendary",8+'Dés de vie'!J$13)</f>
        <v>7</v>
      </c>
    </row>
    <row r="172" spans="1:10" ht="15.75" hidden="1" customHeight="1" outlineLevel="1" x14ac:dyDescent="0.25">
      <c r="A172" s="39" t="s">
        <v>64</v>
      </c>
      <c r="B172" s="201">
        <f>IF(B78="Trained",2+'Dés de vie'!B$13)+IF(B78="Expert",4+'Dés de vie'!B$13)+IF(B78="Master",6+'Dés de vie'!B$13)+IF(B78="Legendary",8+'Dés de vie'!B$13)</f>
        <v>9</v>
      </c>
      <c r="C172" s="26">
        <f>IF(C78="Trained",2+'Dés de vie'!C$13)+IF(C78="Expert",4+'Dés de vie'!C$13)+IF(C78="Master",6+'Dés de vie'!C$13)+IF(C78="Legendary",8+'Dés de vie'!C$13)</f>
        <v>9</v>
      </c>
      <c r="D172" s="26">
        <f>IF(D78="Trained",2+'Dés de vie'!D$13)+IF(D78="Expert",4+'Dés de vie'!D$13)+IF(D78="Master",6+'Dés de vie'!D$13)+IF(D78="Legendary",8+'Dés de vie'!D$13)</f>
        <v>7</v>
      </c>
      <c r="E172" s="26">
        <f>IF(E78="Trained",2+'Dés de vie'!E$13)+IF(E78="Expert",4+'Dés de vie'!E$13)+IF(E78="Master",6+'Dés de vie'!E$13)+IF(E78="Legendary",8+'Dés de vie'!E$13)</f>
        <v>9</v>
      </c>
      <c r="F172" s="26">
        <f>IF(F78="Trained",2+'Dés de vie'!F$13)+IF(F78="Expert",4+'Dés de vie'!F$13)+IF(F78="Master",6+'Dés de vie'!F$13)+IF(F78="Legendary",8+'Dés de vie'!F$13)</f>
        <v>9</v>
      </c>
      <c r="G172" s="26">
        <f>IF(G78="Trained",2+'Dés de vie'!G$13)+IF(G78="Expert",4+'Dés de vie'!G$13)+IF(G78="Master",6+'Dés de vie'!G$13)+IF(G78="Legendary",8+'Dés de vie'!G$13)</f>
        <v>7</v>
      </c>
      <c r="H172" s="26">
        <f>IF(H78="Trained",2+'Dés de vie'!H$13)+IF(H78="Expert",4+'Dés de vie'!H$13)+IF(H78="Master",6+'Dés de vie'!H$13)+IF(H78="Legendary",8+'Dés de vie'!H$13)</f>
        <v>9</v>
      </c>
      <c r="I172" s="26">
        <f>IF(I78="Trained",2+'Dés de vie'!I$13)+IF(I78="Expert",4+'Dés de vie'!I$13)+IF(I78="Master",6+'Dés de vie'!I$13)+IF(I78="Legendary",8+'Dés de vie'!I$13)</f>
        <v>7</v>
      </c>
      <c r="J172" s="26">
        <f>IF(J78="Trained",2+'Dés de vie'!J$13)+IF(J78="Expert",4+'Dés de vie'!J$13)+IF(J78="Master",6+'Dés de vie'!J$13)+IF(J78="Legendary",8+'Dés de vie'!J$13)</f>
        <v>9</v>
      </c>
    </row>
    <row r="173" spans="1:10" ht="15.75" hidden="1" customHeight="1" outlineLevel="1" x14ac:dyDescent="0.25">
      <c r="A173" s="39" t="s">
        <v>65</v>
      </c>
      <c r="B173" s="201">
        <f>IF(B80="Trained",2+'Dés de vie'!B$13)+IF(B80="Expert",4+'Dés de vie'!B$13)+IF(B80="Master",6+'Dés de vie'!B$13)+IF(B80="Legendary",8+'Dés de vie'!B$13)</f>
        <v>9</v>
      </c>
      <c r="C173" s="26">
        <f>IF(C80="Trained",2+'Dés de vie'!C$13)+IF(C80="Expert",4+'Dés de vie'!C$13)+IF(C80="Master",6+'Dés de vie'!C$13)+IF(C80="Legendary",8+'Dés de vie'!C$13)</f>
        <v>9</v>
      </c>
      <c r="D173" s="26">
        <f>IF(D80="Trained",2+'Dés de vie'!D$13)+IF(D80="Expert",4+'Dés de vie'!D$13)+IF(D80="Master",6+'Dés de vie'!D$13)+IF(D80="Legendary",8+'Dés de vie'!D$13)</f>
        <v>9</v>
      </c>
      <c r="E173" s="26">
        <f>IF(E80="Trained",2+'Dés de vie'!E$13)+IF(E80="Expert",4+'Dés de vie'!E$13)+IF(E80="Master",6+'Dés de vie'!E$13)+IF(E80="Legendary",8+'Dés de vie'!E$13)</f>
        <v>7</v>
      </c>
      <c r="F173" s="26">
        <f>IF(F80="Trained",2+'Dés de vie'!F$13)+IF(F80="Expert",4+'Dés de vie'!F$13)+IF(F80="Master",6+'Dés de vie'!F$13)+IF(F80="Legendary",8+'Dés de vie'!F$13)</f>
        <v>7</v>
      </c>
      <c r="G173" s="26">
        <f>IF(G80="Trained",2+'Dés de vie'!G$13)+IF(G80="Expert",4+'Dés de vie'!G$13)+IF(G80="Master",6+'Dés de vie'!G$13)+IF(G80="Legendary",8+'Dés de vie'!G$13)</f>
        <v>9</v>
      </c>
      <c r="H173" s="26">
        <f>IF(H80="Trained",2+'Dés de vie'!H$13)+IF(H80="Expert",4+'Dés de vie'!H$13)+IF(H80="Master",6+'Dés de vie'!H$13)+IF(H80="Legendary",8+'Dés de vie'!H$13)</f>
        <v>9</v>
      </c>
      <c r="I173" s="26">
        <f>IF(I80="Trained",2+'Dés de vie'!I$13)+IF(I80="Expert",4+'Dés de vie'!I$13)+IF(I80="Master",6+'Dés de vie'!I$13)+IF(I80="Legendary",8+'Dés de vie'!I$13)</f>
        <v>9</v>
      </c>
      <c r="J173" s="26">
        <f>IF(J80="Trained",2+'Dés de vie'!J$13)+IF(J80="Expert",4+'Dés de vie'!J$13)+IF(J80="Master",6+'Dés de vie'!J$13)+IF(J80="Legendary",8+'Dés de vie'!J$13)</f>
        <v>9</v>
      </c>
    </row>
    <row r="174" spans="1:10" ht="15.75" hidden="1" customHeight="1" outlineLevel="1" thickBot="1" x14ac:dyDescent="0.3">
      <c r="A174" s="40" t="s">
        <v>66</v>
      </c>
      <c r="B174" s="202">
        <f>IF(B82="Trained",2+'Dés de vie'!B$13)+IF(B82="Expert",4+'Dés de vie'!B$13)+IF(B82="Master",6+'Dés de vie'!B$13)+IF(B82="Legendary",8+'Dés de vie'!B$13)</f>
        <v>9</v>
      </c>
      <c r="C174" s="92">
        <f>IF(C82="Trained",2+'Dés de vie'!C$13)+IF(C82="Expert",4+'Dés de vie'!C$13)+IF(C82="Master",6+'Dés de vie'!C$13)+IF(C82="Legendary",8+'Dés de vie'!C$13)</f>
        <v>9</v>
      </c>
      <c r="D174" s="92">
        <f>IF(D82="Trained",2+'Dés de vie'!D$13)+IF(D82="Expert",4+'Dés de vie'!D$13)+IF(D82="Master",6+'Dés de vie'!D$13)+IF(D82="Legendary",8+'Dés de vie'!D$13)</f>
        <v>9</v>
      </c>
      <c r="E174" s="92">
        <f>IF(E82="Trained",2+'Dés de vie'!E$13)+IF(E82="Expert",4+'Dés de vie'!E$13)+IF(E82="Master",6+'Dés de vie'!E$13)+IF(E82="Legendary",8+'Dés de vie'!E$13)</f>
        <v>9</v>
      </c>
      <c r="F174" s="92">
        <f>IF(F82="Trained",2+'Dés de vie'!F$13)+IF(F82="Expert",4+'Dés de vie'!F$13)+IF(F82="Master",6+'Dés de vie'!F$13)+IF(F82="Legendary",8+'Dés de vie'!F$13)</f>
        <v>9</v>
      </c>
      <c r="G174" s="92">
        <f>IF(G82="Trained",2+'Dés de vie'!G$13)+IF(G82="Expert",4+'Dés de vie'!G$13)+IF(G82="Master",6+'Dés de vie'!G$13)+IF(G82="Legendary",8+'Dés de vie'!G$13)</f>
        <v>9</v>
      </c>
      <c r="H174" s="92">
        <f>IF(H82="Trained",2+'Dés de vie'!H$13)+IF(H82="Expert",4+'Dés de vie'!H$13)+IF(H82="Master",6+'Dés de vie'!H$13)+IF(H82="Legendary",8+'Dés de vie'!H$13)</f>
        <v>9</v>
      </c>
      <c r="I174" s="92">
        <f>IF(I82="Trained",2+'Dés de vie'!I$13)+IF(I82="Expert",4+'Dés de vie'!I$13)+IF(I82="Master",6+'Dés de vie'!I$13)+IF(I82="Legendary",8+'Dés de vie'!I$13)</f>
        <v>9</v>
      </c>
      <c r="J174" s="92">
        <f>IF(J82="Trained",2+'Dés de vie'!J$13)+IF(J82="Expert",4+'Dés de vie'!J$13)+IF(J82="Master",6+'Dés de vie'!J$13)+IF(J82="Legendary",8+'Dés de vie'!J$13)</f>
        <v>7</v>
      </c>
    </row>
    <row r="175" spans="1:10" ht="15.75" hidden="1" customHeight="1" outlineLevel="1" x14ac:dyDescent="0.25">
      <c r="A175" s="147" t="s">
        <v>20</v>
      </c>
      <c r="B175" s="47">
        <f>IF(B96="Clever",INT('Dés de vie'!B$13/2))+IF(B96="Trained",2+'Dés de vie'!B$13)+IF(B96="Expert",4+'Dés de vie'!B$13)+IF(B96="Master",6+'Dés de vie'!B$13)+IF(B96="Legendary",8+'Dés de vie'!B$13)</f>
        <v>0</v>
      </c>
      <c r="C175" s="84">
        <f>IF(C96="Clever",INT('Dés de vie'!C$13/2))+IF(C96="Trained",2+'Dés de vie'!C$13)+IF(C96="Expert",4+'Dés de vie'!C$13)+IF(C96="Master",6+'Dés de vie'!C$13)+IF(C96="Legendary",8+'Dés de vie'!C$13)</f>
        <v>0</v>
      </c>
      <c r="D175" s="84">
        <f>IF(D96="Clever",INT('Dés de vie'!D$13/2))+IF(D96="Trained",2+'Dés de vie'!D$13)+IF(D96="Expert",4+'Dés de vie'!D$13)+IF(D96="Master",6+'Dés de vie'!D$13)+IF(D96="Legendary",8+'Dés de vie'!D$13)</f>
        <v>0</v>
      </c>
      <c r="E175" s="84">
        <f>IF(E96="Clever",INT('Dés de vie'!E$13/2))+IF(E96="Trained",2+'Dés de vie'!E$13)+IF(E96="Expert",4+'Dés de vie'!E$13)+IF(E96="Master",6+'Dés de vie'!E$13)+IF(E96="Legendary",8+'Dés de vie'!E$13)</f>
        <v>9</v>
      </c>
      <c r="F175" s="84">
        <f>IF(F96="Clever",INT('Dés de vie'!F$13/2))+IF(F96="Trained",2+'Dés de vie'!F$13)+IF(F96="Expert",4+'Dés de vie'!F$13)+IF(F96="Master",6+'Dés de vie'!F$13)+IF(F96="Legendary",8+'Dés de vie'!F$13)</f>
        <v>7</v>
      </c>
      <c r="G175" s="84">
        <f>IF(G96="Clever",INT('Dés de vie'!G$13/2))+IF(G96="Trained",2+'Dés de vie'!G$13)+IF(G96="Expert",4+'Dés de vie'!G$13)+IF(G96="Master",6+'Dés de vie'!G$13)+IF(G96="Legendary",8+'Dés de vie'!G$13)</f>
        <v>9</v>
      </c>
      <c r="H175" s="84">
        <f>IF(H96="Clever",INT('Dés de vie'!H$13/2))+IF(H96="Trained",2+'Dés de vie'!H$13)+IF(H96="Expert",4+'Dés de vie'!H$13)+IF(H96="Master",6+'Dés de vie'!H$13)+IF(H96="Legendary",8+'Dés de vie'!H$13)</f>
        <v>9</v>
      </c>
      <c r="I175" s="84">
        <f>IF(I96="Clever",INT('Dés de vie'!I$13/2))+IF(I96="Trained",2+'Dés de vie'!I$13)+IF(I96="Expert",4+'Dés de vie'!I$13)+IF(I96="Master",6+'Dés de vie'!I$13)+IF(I96="Legendary",8+'Dés de vie'!I$13)</f>
        <v>9</v>
      </c>
      <c r="J175" s="84">
        <f>IF(J96="Clever",INT('Dés de vie'!J$13/2))+IF(J96="Trained",2+'Dés de vie'!J$13)+IF(J96="Expert",4+'Dés de vie'!J$13)+IF(J96="Master",6+'Dés de vie'!J$13)+IF(J96="Legendary",8+'Dés de vie'!J$13)</f>
        <v>7</v>
      </c>
    </row>
    <row r="176" spans="1:10" ht="15.75" hidden="1" customHeight="1" outlineLevel="1" x14ac:dyDescent="0.25">
      <c r="A176" s="43" t="s">
        <v>51</v>
      </c>
      <c r="B176" s="201">
        <f>IF(B98="Clever",INT('Dés de vie'!B$13/2))+IF(B98="Trained",2+'Dés de vie'!B$13)+IF(B98="Expert",4+'Dés de vie'!B$13)+IF(B98="Master",6+'Dés de vie'!B$13)+IF(B98="Legendary",8+'Dés de vie'!B$13)</f>
        <v>0</v>
      </c>
      <c r="C176" s="26">
        <f>IF(C98="Clever",INT('Dés de vie'!C$13/2))+IF(C98="Trained",2+'Dés de vie'!C$13)+IF(C98="Expert",4+'Dés de vie'!C$13)+IF(C98="Master",6+'Dés de vie'!C$13)+IF(C98="Legendary",8+'Dés de vie'!C$13)</f>
        <v>7</v>
      </c>
      <c r="D176" s="26">
        <f>IF(D98="Clever",INT('Dés de vie'!D$13/2))+IF(D98="Trained",2+'Dés de vie'!D$13)+IF(D98="Expert",4+'Dés de vie'!D$13)+IF(D98="Master",6+'Dés de vie'!D$13)+IF(D98="Legendary",8+'Dés de vie'!D$13)</f>
        <v>0</v>
      </c>
      <c r="E176" s="26">
        <f>IF(E98="Clever",INT('Dés de vie'!E$13/2))+IF(E98="Trained",2+'Dés de vie'!E$13)+IF(E98="Expert",4+'Dés de vie'!E$13)+IF(E98="Master",6+'Dés de vie'!E$13)+IF(E98="Legendary",8+'Dés de vie'!E$13)</f>
        <v>0</v>
      </c>
      <c r="F176" s="26">
        <f>IF(F98="Clever",INT('Dés de vie'!F$13/2))+IF(F98="Trained",2+'Dés de vie'!F$13)+IF(F98="Expert",4+'Dés de vie'!F$13)+IF(F98="Master",6+'Dés de vie'!F$13)+IF(F98="Legendary",8+'Dés de vie'!F$13)</f>
        <v>7</v>
      </c>
      <c r="G176" s="26">
        <f>IF(G98="Clever",INT('Dés de vie'!G$13/2))+IF(G98="Trained",2+'Dés de vie'!G$13)+IF(G98="Expert",4+'Dés de vie'!G$13)+IF(G98="Master",6+'Dés de vie'!G$13)+IF(G98="Legendary",8+'Dés de vie'!G$13)</f>
        <v>0</v>
      </c>
      <c r="H176" s="26">
        <f>IF(H98="Clever",INT('Dés de vie'!H$13/2))+IF(H98="Trained",2+'Dés de vie'!H$13)+IF(H98="Expert",4+'Dés de vie'!H$13)+IF(H98="Master",6+'Dés de vie'!H$13)+IF(H98="Legendary",8+'Dés de vie'!H$13)</f>
        <v>0</v>
      </c>
      <c r="I176" s="26">
        <f>IF(I98="Clever",INT('Dés de vie'!I$13/2))+IF(I98="Trained",2+'Dés de vie'!I$13)+IF(I98="Expert",4+'Dés de vie'!I$13)+IF(I98="Master",6+'Dés de vie'!I$13)+IF(I98="Legendary",8+'Dés de vie'!I$13)</f>
        <v>0</v>
      </c>
      <c r="J176" s="26">
        <f>IF(J98="Clever",INT('Dés de vie'!J$13/2))+IF(J98="Trained",2+'Dés de vie'!J$13)+IF(J98="Expert",4+'Dés de vie'!J$13)+IF(J98="Master",6+'Dés de vie'!J$13)+IF(J98="Legendary",8+'Dés de vie'!J$13)</f>
        <v>0</v>
      </c>
    </row>
    <row r="177" spans="1:10" ht="15.75" hidden="1" customHeight="1" outlineLevel="1" x14ac:dyDescent="0.25">
      <c r="A177" s="43" t="s">
        <v>52</v>
      </c>
      <c r="B177" s="201">
        <f>IF(B100="Clever",INT('Dés de vie'!B$13/2))+IF(B100="Trained",2+'Dés de vie'!B$13)+IF(B100="Expert",4+'Dés de vie'!B$13)+IF(B100="Master",6+'Dés de vie'!B$13)+IF(B100="Legendary",8+'Dés de vie'!B$13)</f>
        <v>7</v>
      </c>
      <c r="C177" s="26">
        <f>IF(C100="Clever",INT('Dés de vie'!C$13/2))+IF(C100="Trained",2+'Dés de vie'!C$13)+IF(C100="Expert",4+'Dés de vie'!C$13)+IF(C100="Master",6+'Dés de vie'!C$13)+IF(C100="Legendary",8+'Dés de vie'!C$13)</f>
        <v>0</v>
      </c>
      <c r="D177" s="26">
        <f>IF(D100="Clever",INT('Dés de vie'!D$13/2))+IF(D100="Trained",2+'Dés de vie'!D$13)+IF(D100="Expert",4+'Dés de vie'!D$13)+IF(D100="Master",6+'Dés de vie'!D$13)+IF(D100="Legendary",8+'Dés de vie'!D$13)</f>
        <v>7</v>
      </c>
      <c r="E177" s="26">
        <f>IF(E100="Clever",INT('Dés de vie'!E$13/2))+IF(E100="Trained",2+'Dés de vie'!E$13)+IF(E100="Expert",4+'Dés de vie'!E$13)+IF(E100="Master",6+'Dés de vie'!E$13)+IF(E100="Legendary",8+'Dés de vie'!E$13)</f>
        <v>9</v>
      </c>
      <c r="F177" s="26">
        <f>IF(F100="Clever",INT('Dés de vie'!F$13/2))+IF(F100="Trained",2+'Dés de vie'!F$13)+IF(F100="Expert",4+'Dés de vie'!F$13)+IF(F100="Master",6+'Dés de vie'!F$13)+IF(F100="Legendary",8+'Dés de vie'!F$13)</f>
        <v>0</v>
      </c>
      <c r="G177" s="26">
        <f>IF(G100="Clever",INT('Dés de vie'!G$13/2))+IF(G100="Trained",2+'Dés de vie'!G$13)+IF(G100="Expert",4+'Dés de vie'!G$13)+IF(G100="Master",6+'Dés de vie'!G$13)+IF(G100="Legendary",8+'Dés de vie'!G$13)</f>
        <v>9</v>
      </c>
      <c r="H177" s="26">
        <f>IF(H100="Clever",INT('Dés de vie'!H$13/2))+IF(H100="Trained",2+'Dés de vie'!H$13)+IF(H100="Expert",4+'Dés de vie'!H$13)+IF(H100="Master",6+'Dés de vie'!H$13)+IF(H100="Legendary",8+'Dés de vie'!H$13)</f>
        <v>9</v>
      </c>
      <c r="I177" s="26">
        <f>IF(I100="Clever",INT('Dés de vie'!I$13/2))+IF(I100="Trained",2+'Dés de vie'!I$13)+IF(I100="Expert",4+'Dés de vie'!I$13)+IF(I100="Master",6+'Dés de vie'!I$13)+IF(I100="Legendary",8+'Dés de vie'!I$13)</f>
        <v>7</v>
      </c>
      <c r="J177" s="26">
        <f>IF(J100="Clever",INT('Dés de vie'!J$13/2))+IF(J100="Trained",2+'Dés de vie'!J$13)+IF(J100="Expert",4+'Dés de vie'!J$13)+IF(J100="Master",6+'Dés de vie'!J$13)+IF(J100="Legendary",8+'Dés de vie'!J$13)</f>
        <v>7</v>
      </c>
    </row>
    <row r="178" spans="1:10" ht="15.75" hidden="1" customHeight="1" outlineLevel="1" x14ac:dyDescent="0.25">
      <c r="A178" s="43" t="s">
        <v>53</v>
      </c>
      <c r="B178" s="201">
        <f>IF(B102="Clever",INT('Dés de vie'!B$13/2))+IF(B102="Trained",2+'Dés de vie'!B$13)+IF(B102="Expert",4+'Dés de vie'!B$13)+IF(B102="Master",6+'Dés de vie'!B$13)+IF(B102="Legendary",8+'Dés de vie'!B$13)</f>
        <v>0</v>
      </c>
      <c r="C178" s="26">
        <f>IF(C102="Clever",INT('Dés de vie'!C$13/2))+IF(C102="Trained",2+'Dés de vie'!C$13)+IF(C102="Expert",4+'Dés de vie'!C$13)+IF(C102="Master",6+'Dés de vie'!C$13)+IF(C102="Legendary",8+'Dés de vie'!C$13)</f>
        <v>7</v>
      </c>
      <c r="D178" s="26">
        <f>IF(D102="Clever",INT('Dés de vie'!D$13/2))+IF(D102="Trained",2+'Dés de vie'!D$13)+IF(D102="Expert",4+'Dés de vie'!D$13)+IF(D102="Master",6+'Dés de vie'!D$13)+IF(D102="Legendary",8+'Dés de vie'!D$13)</f>
        <v>9</v>
      </c>
      <c r="E178" s="26">
        <f>IF(E102="Clever",INT('Dés de vie'!E$13/2))+IF(E102="Trained",2+'Dés de vie'!E$13)+IF(E102="Expert",4+'Dés de vie'!E$13)+IF(E102="Master",6+'Dés de vie'!E$13)+IF(E102="Legendary",8+'Dés de vie'!E$13)</f>
        <v>7</v>
      </c>
      <c r="F178" s="26">
        <f>IF(F102="Clever",INT('Dés de vie'!F$13/2))+IF(F102="Trained",2+'Dés de vie'!F$13)+IF(F102="Expert",4+'Dés de vie'!F$13)+IF(F102="Master",6+'Dés de vie'!F$13)+IF(F102="Legendary",8+'Dés de vie'!F$13)</f>
        <v>0</v>
      </c>
      <c r="G178" s="26">
        <f>IF(G102="Clever",INT('Dés de vie'!G$13/2))+IF(G102="Trained",2+'Dés de vie'!G$13)+IF(G102="Expert",4+'Dés de vie'!G$13)+IF(G102="Master",6+'Dés de vie'!G$13)+IF(G102="Legendary",8+'Dés de vie'!G$13)</f>
        <v>7</v>
      </c>
      <c r="H178" s="26">
        <f>IF(H102="Clever",INT('Dés de vie'!H$13/2))+IF(H102="Trained",2+'Dés de vie'!H$13)+IF(H102="Expert",4+'Dés de vie'!H$13)+IF(H102="Master",6+'Dés de vie'!H$13)+IF(H102="Legendary",8+'Dés de vie'!H$13)</f>
        <v>0</v>
      </c>
      <c r="I178" s="26">
        <f>IF(I102="Clever",INT('Dés de vie'!I$13/2))+IF(I102="Trained",2+'Dés de vie'!I$13)+IF(I102="Expert",4+'Dés de vie'!I$13)+IF(I102="Master",6+'Dés de vie'!I$13)+IF(I102="Legendary",8+'Dés de vie'!I$13)</f>
        <v>7</v>
      </c>
      <c r="J178" s="26">
        <f>IF(J102="Clever",INT('Dés de vie'!J$13/2))+IF(J102="Trained",2+'Dés de vie'!J$13)+IF(J102="Expert",4+'Dés de vie'!J$13)+IF(J102="Master",6+'Dés de vie'!J$13)+IF(J102="Legendary",8+'Dés de vie'!J$13)</f>
        <v>0</v>
      </c>
    </row>
    <row r="179" spans="1:10" ht="15.75" hidden="1" customHeight="1" outlineLevel="1" x14ac:dyDescent="0.25">
      <c r="A179" s="43" t="s">
        <v>54</v>
      </c>
      <c r="B179" s="201">
        <f>IF(B104="Clever",INT('Dés de vie'!B$13/2))+IF(B104="Trained",2+'Dés de vie'!B$13)+IF(B104="Expert",4+'Dés de vie'!B$13)+IF(B104="Master",6+'Dés de vie'!B$13)+IF(B104="Legendary",8+'Dés de vie'!B$13)</f>
        <v>0</v>
      </c>
      <c r="C179" s="26">
        <f>IF(C104="Clever",INT('Dés de vie'!C$13/2))+IF(C104="Trained",2+'Dés de vie'!C$13)+IF(C104="Expert",4+'Dés de vie'!C$13)+IF(C104="Master",6+'Dés de vie'!C$13)+IF(C104="Legendary",8+'Dés de vie'!C$13)</f>
        <v>7</v>
      </c>
      <c r="D179" s="26">
        <f>IF(D104="Clever",INT('Dés de vie'!D$13/2))+IF(D104="Trained",2+'Dés de vie'!D$13)+IF(D104="Expert",4+'Dés de vie'!D$13)+IF(D104="Master",6+'Dés de vie'!D$13)+IF(D104="Legendary",8+'Dés de vie'!D$13)</f>
        <v>0</v>
      </c>
      <c r="E179" s="26">
        <f>IF(E104="Clever",INT('Dés de vie'!E$13/2))+IF(E104="Trained",2+'Dés de vie'!E$13)+IF(E104="Expert",4+'Dés de vie'!E$13)+IF(E104="Master",6+'Dés de vie'!E$13)+IF(E104="Legendary",8+'Dés de vie'!E$13)</f>
        <v>0</v>
      </c>
      <c r="F179" s="26">
        <f>IF(F104="Clever",INT('Dés de vie'!F$13/2))+IF(F104="Trained",2+'Dés de vie'!F$13)+IF(F104="Expert",4+'Dés de vie'!F$13)+IF(F104="Master",6+'Dés de vie'!F$13)+IF(F104="Legendary",8+'Dés de vie'!F$13)</f>
        <v>0</v>
      </c>
      <c r="G179" s="26">
        <f>IF(G104="Clever",INT('Dés de vie'!G$13/2))+IF(G104="Trained",2+'Dés de vie'!G$13)+IF(G104="Expert",4+'Dés de vie'!G$13)+IF(G104="Master",6+'Dés de vie'!G$13)+IF(G104="Legendary",8+'Dés de vie'!G$13)</f>
        <v>9</v>
      </c>
      <c r="H179" s="26">
        <f>IF(H104="Clever",INT('Dés de vie'!H$13/2))+IF(H104="Trained",2+'Dés de vie'!H$13)+IF(H104="Expert",4+'Dés de vie'!H$13)+IF(H104="Master",6+'Dés de vie'!H$13)+IF(H104="Legendary",8+'Dés de vie'!H$13)</f>
        <v>0</v>
      </c>
      <c r="I179" s="26">
        <f>IF(I104="Clever",INT('Dés de vie'!I$13/2))+IF(I104="Trained",2+'Dés de vie'!I$13)+IF(I104="Expert",4+'Dés de vie'!I$13)+IF(I104="Master",6+'Dés de vie'!I$13)+IF(I104="Legendary",8+'Dés de vie'!I$13)</f>
        <v>9</v>
      </c>
      <c r="J179" s="26">
        <f>IF(J104="Clever",INT('Dés de vie'!J$13/2))+IF(J104="Trained",2+'Dés de vie'!J$13)+IF(J104="Expert",4+'Dés de vie'!J$13)+IF(J104="Master",6+'Dés de vie'!J$13)+IF(J104="Legendary",8+'Dés de vie'!J$13)</f>
        <v>0</v>
      </c>
    </row>
    <row r="180" spans="1:10" ht="15.75" hidden="1" customHeight="1" outlineLevel="1" x14ac:dyDescent="0.25">
      <c r="A180" s="39" t="s">
        <v>21</v>
      </c>
      <c r="B180" s="201">
        <f>IF(B106="Clever",INT('Dés de vie'!B$13/2))+IF(B106="Trained",2+'Dés de vie'!B$13)+IF(B106="Expert",4+'Dés de vie'!B$13)+IF(B106="Master",6+'Dés de vie'!B$13)+IF(B106="Legendary",8+'Dés de vie'!B$13)</f>
        <v>7</v>
      </c>
      <c r="C180" s="26">
        <f>IF(C106="Clever",INT('Dés de vie'!C$13/2))+IF(C106="Trained",2+'Dés de vie'!C$13)+IF(C106="Expert",4+'Dés de vie'!C$13)+IF(C106="Master",6+'Dés de vie'!C$13)+IF(C106="Legendary",8+'Dés de vie'!C$13)</f>
        <v>7</v>
      </c>
      <c r="D180" s="26">
        <f>IF(D106="Clever",INT('Dés de vie'!D$13/2))+IF(D106="Trained",2+'Dés de vie'!D$13)+IF(D106="Expert",4+'Dés de vie'!D$13)+IF(D106="Master",6+'Dés de vie'!D$13)+IF(D106="Legendary",8+'Dés de vie'!D$13)</f>
        <v>7</v>
      </c>
      <c r="E180" s="26">
        <f>IF(E106="Clever",INT('Dés de vie'!E$13/2))+IF(E106="Trained",2+'Dés de vie'!E$13)+IF(E106="Expert",4+'Dés de vie'!E$13)+IF(E106="Master",6+'Dés de vie'!E$13)+IF(E106="Legendary",8+'Dés de vie'!E$13)</f>
        <v>0</v>
      </c>
      <c r="F180" s="26">
        <f>IF(F106="Clever",INT('Dés de vie'!F$13/2))+IF(F106="Trained",2+'Dés de vie'!F$13)+IF(F106="Expert",4+'Dés de vie'!F$13)+IF(F106="Master",6+'Dés de vie'!F$13)+IF(F106="Legendary",8+'Dés de vie'!F$13)</f>
        <v>9</v>
      </c>
      <c r="G180" s="26">
        <f>IF(G106="Clever",INT('Dés de vie'!G$13/2))+IF(G106="Trained",2+'Dés de vie'!G$13)+IF(G106="Expert",4+'Dés de vie'!G$13)+IF(G106="Master",6+'Dés de vie'!G$13)+IF(G106="Legendary",8+'Dés de vie'!G$13)</f>
        <v>9</v>
      </c>
      <c r="H180" s="26">
        <f>IF(H106="Clever",INT('Dés de vie'!H$13/2))+IF(H106="Trained",2+'Dés de vie'!H$13)+IF(H106="Expert",4+'Dés de vie'!H$13)+IF(H106="Master",6+'Dés de vie'!H$13)+IF(H106="Legendary",8+'Dés de vie'!H$13)</f>
        <v>0</v>
      </c>
      <c r="I180" s="26">
        <f>IF(I106="Clever",INT('Dés de vie'!I$13/2))+IF(I106="Trained",2+'Dés de vie'!I$13)+IF(I106="Expert",4+'Dés de vie'!I$13)+IF(I106="Master",6+'Dés de vie'!I$13)+IF(I106="Legendary",8+'Dés de vie'!I$13)</f>
        <v>7</v>
      </c>
      <c r="J180" s="26">
        <f>IF(J106="Clever",INT('Dés de vie'!J$13/2))+IF(J106="Trained",2+'Dés de vie'!J$13)+IF(J106="Expert",4+'Dés de vie'!J$13)+IF(J106="Master",6+'Dés de vie'!J$13)+IF(J106="Legendary",8+'Dés de vie'!J$13)</f>
        <v>0</v>
      </c>
    </row>
    <row r="181" spans="1:10" ht="15.75" hidden="1" customHeight="1" outlineLevel="1" x14ac:dyDescent="0.25">
      <c r="A181" s="43" t="s">
        <v>55</v>
      </c>
      <c r="B181" s="201">
        <f>IF(B108="Clever",INT('Dés de vie'!B$13/2))+IF(B108="Trained",2+'Dés de vie'!B$13)+IF(B108="Expert",4+'Dés de vie'!B$13)+IF(B108="Master",6+'Dés de vie'!B$13)+IF(B108="Legendary",8+'Dés de vie'!B$13)</f>
        <v>0</v>
      </c>
      <c r="C181" s="26">
        <f>IF(C108="Clever",INT('Dés de vie'!C$13/2))+IF(C108="Trained",2+'Dés de vie'!C$13)+IF(C108="Expert",4+'Dés de vie'!C$13)+IF(C108="Master",6+'Dés de vie'!C$13)+IF(C108="Legendary",8+'Dés de vie'!C$13)</f>
        <v>0</v>
      </c>
      <c r="D181" s="26">
        <f>IF(D108="Clever",INT('Dés de vie'!D$13/2))+IF(D108="Trained",2+'Dés de vie'!D$13)+IF(D108="Expert",4+'Dés de vie'!D$13)+IF(D108="Master",6+'Dés de vie'!D$13)+IF(D108="Legendary",8+'Dés de vie'!D$13)</f>
        <v>7</v>
      </c>
      <c r="E181" s="26">
        <f>IF(E108="Clever",INT('Dés de vie'!E$13/2))+IF(E108="Trained",2+'Dés de vie'!E$13)+IF(E108="Expert",4+'Dés de vie'!E$13)+IF(E108="Master",6+'Dés de vie'!E$13)+IF(E108="Legendary",8+'Dés de vie'!E$13)</f>
        <v>0</v>
      </c>
      <c r="F181" s="26">
        <f>IF(F108="Clever",INT('Dés de vie'!F$13/2))+IF(F108="Trained",2+'Dés de vie'!F$13)+IF(F108="Expert",4+'Dés de vie'!F$13)+IF(F108="Master",6+'Dés de vie'!F$13)+IF(F108="Legendary",8+'Dés de vie'!F$13)</f>
        <v>7</v>
      </c>
      <c r="G181" s="26">
        <f>IF(G108="Clever",INT('Dés de vie'!G$13/2))+IF(G108="Trained",2+'Dés de vie'!G$13)+IF(G108="Expert",4+'Dés de vie'!G$13)+IF(G108="Master",6+'Dés de vie'!G$13)+IF(G108="Legendary",8+'Dés de vie'!G$13)</f>
        <v>7</v>
      </c>
      <c r="H181" s="26">
        <f>IF(H108="Clever",INT('Dés de vie'!H$13/2))+IF(H108="Trained",2+'Dés de vie'!H$13)+IF(H108="Expert",4+'Dés de vie'!H$13)+IF(H108="Master",6+'Dés de vie'!H$13)+IF(H108="Legendary",8+'Dés de vie'!H$13)</f>
        <v>7</v>
      </c>
      <c r="I181" s="26">
        <f>IF(I108="Clever",INT('Dés de vie'!I$13/2))+IF(I108="Trained",2+'Dés de vie'!I$13)+IF(I108="Expert",4+'Dés de vie'!I$13)+IF(I108="Master",6+'Dés de vie'!I$13)+IF(I108="Legendary",8+'Dés de vie'!I$13)</f>
        <v>9</v>
      </c>
      <c r="J181" s="26">
        <f>IF(J108="Clever",INT('Dés de vie'!J$13/2))+IF(J108="Trained",2+'Dés de vie'!J$13)+IF(J108="Expert",4+'Dés de vie'!J$13)+IF(J108="Master",6+'Dés de vie'!J$13)+IF(J108="Legendary",8+'Dés de vie'!J$13)</f>
        <v>0</v>
      </c>
    </row>
    <row r="182" spans="1:10" ht="15.75" hidden="1" customHeight="1" outlineLevel="1" x14ac:dyDescent="0.25">
      <c r="A182" s="43" t="s">
        <v>56</v>
      </c>
      <c r="B182" s="201">
        <f>IF(B110="Clever",INT('Dés de vie'!B$13/2))+IF(B110="Trained",2+'Dés de vie'!B$13)+IF(B110="Expert",4+'Dés de vie'!B$13)+IF(B110="Master",6+'Dés de vie'!B$13)+IF(B110="Legendary",8+'Dés de vie'!B$13)</f>
        <v>0</v>
      </c>
      <c r="C182" s="26">
        <f>IF(C110="Clever",INT('Dés de vie'!C$13/2))+IF(C110="Trained",2+'Dés de vie'!C$13)+IF(C110="Expert",4+'Dés de vie'!C$13)+IF(C110="Master",6+'Dés de vie'!C$13)+IF(C110="Legendary",8+'Dés de vie'!C$13)</f>
        <v>0</v>
      </c>
      <c r="D182" s="26">
        <f>IF(D110="Clever",INT('Dés de vie'!D$13/2))+IF(D110="Trained",2+'Dés de vie'!D$13)+IF(D110="Expert",4+'Dés de vie'!D$13)+IF(D110="Master",6+'Dés de vie'!D$13)+IF(D110="Legendary",8+'Dés de vie'!D$13)</f>
        <v>0</v>
      </c>
      <c r="E182" s="26">
        <f>IF(E110="Clever",INT('Dés de vie'!E$13/2))+IF(E110="Trained",2+'Dés de vie'!E$13)+IF(E110="Expert",4+'Dés de vie'!E$13)+IF(E110="Master",6+'Dés de vie'!E$13)+IF(E110="Legendary",8+'Dés de vie'!E$13)</f>
        <v>0</v>
      </c>
      <c r="F182" s="26">
        <f>IF(F110="Clever",INT('Dés de vie'!F$13/2))+IF(F110="Trained",2+'Dés de vie'!F$13)+IF(F110="Expert",4+'Dés de vie'!F$13)+IF(F110="Master",6+'Dés de vie'!F$13)+IF(F110="Legendary",8+'Dés de vie'!F$13)</f>
        <v>0</v>
      </c>
      <c r="G182" s="26">
        <f>IF(G110="Clever",INT('Dés de vie'!G$13/2))+IF(G110="Trained",2+'Dés de vie'!G$13)+IF(G110="Expert",4+'Dés de vie'!G$13)+IF(G110="Master",6+'Dés de vie'!G$13)+IF(G110="Legendary",8+'Dés de vie'!G$13)</f>
        <v>0</v>
      </c>
      <c r="H182" s="26">
        <f>IF(H110="Clever",INT('Dés de vie'!H$13/2))+IF(H110="Trained",2+'Dés de vie'!H$13)+IF(H110="Expert",4+'Dés de vie'!H$13)+IF(H110="Master",6+'Dés de vie'!H$13)+IF(H110="Legendary",8+'Dés de vie'!H$13)</f>
        <v>0</v>
      </c>
      <c r="I182" s="26">
        <f>IF(I110="Clever",INT('Dés de vie'!I$13/2))+IF(I110="Trained",2+'Dés de vie'!I$13)+IF(I110="Expert",4+'Dés de vie'!I$13)+IF(I110="Master",6+'Dés de vie'!I$13)+IF(I110="Legendary",8+'Dés de vie'!I$13)</f>
        <v>0</v>
      </c>
      <c r="J182" s="26">
        <f>IF(J110="Clever",INT('Dés de vie'!J$13/2))+IF(J110="Trained",2+'Dés de vie'!J$13)+IF(J110="Expert",4+'Dés de vie'!J$13)+IF(J110="Master",6+'Dés de vie'!J$13)+IF(J110="Legendary",8+'Dés de vie'!J$13)</f>
        <v>0</v>
      </c>
    </row>
    <row r="183" spans="1:10" ht="15.75" hidden="1" customHeight="1" outlineLevel="1" x14ac:dyDescent="0.25">
      <c r="A183" s="43" t="s">
        <v>67</v>
      </c>
      <c r="B183" s="201">
        <f>IF(B112="Clever",INT('Dés de vie'!B$13/2))+IF(B112="Trained",2+'Dés de vie'!B$13)+IF(B112="Expert",4+'Dés de vie'!B$13)+IF(B112="Master",6+'Dés de vie'!B$13)+IF(B112="Legendary",8+'Dés de vie'!B$13)</f>
        <v>9</v>
      </c>
      <c r="C183" s="26">
        <f>IF(C112="Clever",INT('Dés de vie'!C$13/2))+IF(C112="Trained",2+'Dés de vie'!C$13)+IF(C112="Expert",4+'Dés de vie'!C$13)+IF(C112="Master",6+'Dés de vie'!C$13)+IF(C112="Legendary",8+'Dés de vie'!C$13)</f>
        <v>7</v>
      </c>
      <c r="D183" s="26">
        <f>IF(D112="Clever",INT('Dés de vie'!D$13/2))+IF(D112="Trained",2+'Dés de vie'!D$13)+IF(D112="Expert",4+'Dés de vie'!D$13)+IF(D112="Master",6+'Dés de vie'!D$13)+IF(D112="Legendary",8+'Dés de vie'!D$13)</f>
        <v>7</v>
      </c>
      <c r="E183" s="26">
        <f>IF(E112="Clever",INT('Dés de vie'!E$13/2))+IF(E112="Trained",2+'Dés de vie'!E$13)+IF(E112="Expert",4+'Dés de vie'!E$13)+IF(E112="Master",6+'Dés de vie'!E$13)+IF(E112="Legendary",8+'Dés de vie'!E$13)</f>
        <v>7</v>
      </c>
      <c r="F183" s="26">
        <f>IF(F112="Clever",INT('Dés de vie'!F$13/2))+IF(F112="Trained",2+'Dés de vie'!F$13)+IF(F112="Expert",4+'Dés de vie'!F$13)+IF(F112="Master",6+'Dés de vie'!F$13)+IF(F112="Legendary",8+'Dés de vie'!F$13)</f>
        <v>7</v>
      </c>
      <c r="G183" s="26">
        <f>IF(G112="Clever",INT('Dés de vie'!G$13/2))+IF(G112="Trained",2+'Dés de vie'!G$13)+IF(G112="Expert",4+'Dés de vie'!G$13)+IF(G112="Master",6+'Dés de vie'!G$13)+IF(G112="Legendary",8+'Dés de vie'!G$13)</f>
        <v>7</v>
      </c>
      <c r="H183" s="26">
        <f>IF(H112="Clever",INT('Dés de vie'!H$13/2))+IF(H112="Trained",2+'Dés de vie'!H$13)+IF(H112="Expert",4+'Dés de vie'!H$13)+IF(H112="Master",6+'Dés de vie'!H$13)+IF(H112="Legendary",8+'Dés de vie'!H$13)</f>
        <v>7</v>
      </c>
      <c r="I183" s="26">
        <f>IF(I112="Clever",INT('Dés de vie'!I$13/2))+IF(I112="Trained",2+'Dés de vie'!I$13)+IF(I112="Expert",4+'Dés de vie'!I$13)+IF(I112="Master",6+'Dés de vie'!I$13)+IF(I112="Legendary",8+'Dés de vie'!I$13)</f>
        <v>7</v>
      </c>
      <c r="J183" s="26">
        <f>IF(J112="Clever",INT('Dés de vie'!J$13/2))+IF(J112="Trained",2+'Dés de vie'!J$13)+IF(J112="Expert",4+'Dés de vie'!J$13)+IF(J112="Master",6+'Dés de vie'!J$13)+IF(J112="Legendary",8+'Dés de vie'!J$13)</f>
        <v>0</v>
      </c>
    </row>
    <row r="184" spans="1:10" ht="15.75" hidden="1" customHeight="1" outlineLevel="1" x14ac:dyDescent="0.25">
      <c r="A184" s="43" t="s">
        <v>68</v>
      </c>
      <c r="B184" s="201">
        <f>IF(B114="Clever",INT('Dés de vie'!B$13/2))+IF(B114="Trained",2+'Dés de vie'!B$13)+IF(B114="Expert",4+'Dés de vie'!B$13)+IF(B114="Master",6+'Dés de vie'!B$13)+IF(B114="Legendary",8+'Dés de vie'!B$13)</f>
        <v>7</v>
      </c>
      <c r="C184" s="26">
        <f>IF(C114="Clever",INT('Dés de vie'!C$13/2))+IF(C114="Trained",2+'Dés de vie'!C$13)+IF(C114="Expert",4+'Dés de vie'!C$13)+IF(C114="Master",6+'Dés de vie'!C$13)+IF(C114="Legendary",8+'Dés de vie'!C$13)</f>
        <v>0</v>
      </c>
      <c r="D184" s="26">
        <f>IF(D114="Clever",INT('Dés de vie'!D$13/2))+IF(D114="Trained",2+'Dés de vie'!D$13)+IF(D114="Expert",4+'Dés de vie'!D$13)+IF(D114="Master",6+'Dés de vie'!D$13)+IF(D114="Legendary",8+'Dés de vie'!D$13)</f>
        <v>0</v>
      </c>
      <c r="E184" s="26">
        <f>IF(E114="Clever",INT('Dés de vie'!E$13/2))+IF(E114="Trained",2+'Dés de vie'!E$13)+IF(E114="Expert",4+'Dés de vie'!E$13)+IF(E114="Master",6+'Dés de vie'!E$13)+IF(E114="Legendary",8+'Dés de vie'!E$13)</f>
        <v>0</v>
      </c>
      <c r="F184" s="26">
        <f>IF(F114="Clever",INT('Dés de vie'!F$13/2))+IF(F114="Trained",2+'Dés de vie'!F$13)+IF(F114="Expert",4+'Dés de vie'!F$13)+IF(F114="Master",6+'Dés de vie'!F$13)+IF(F114="Legendary",8+'Dés de vie'!F$13)</f>
        <v>7</v>
      </c>
      <c r="G184" s="26">
        <f>IF(G114="Clever",INT('Dés de vie'!G$13/2))+IF(G114="Trained",2+'Dés de vie'!G$13)+IF(G114="Expert",4+'Dés de vie'!G$13)+IF(G114="Master",6+'Dés de vie'!G$13)+IF(G114="Legendary",8+'Dés de vie'!G$13)</f>
        <v>0</v>
      </c>
      <c r="H184" s="26">
        <f>IF(H114="Clever",INT('Dés de vie'!H$13/2))+IF(H114="Trained",2+'Dés de vie'!H$13)+IF(H114="Expert",4+'Dés de vie'!H$13)+IF(H114="Master",6+'Dés de vie'!H$13)+IF(H114="Legendary",8+'Dés de vie'!H$13)</f>
        <v>0</v>
      </c>
      <c r="I184" s="26">
        <f>IF(I114="Clever",INT('Dés de vie'!I$13/2))+IF(I114="Trained",2+'Dés de vie'!I$13)+IF(I114="Expert",4+'Dés de vie'!I$13)+IF(I114="Master",6+'Dés de vie'!I$13)+IF(I114="Legendary",8+'Dés de vie'!I$13)</f>
        <v>0</v>
      </c>
      <c r="J184" s="26">
        <f>IF(J114="Clever",INT('Dés de vie'!J$13/2))+IF(J114="Trained",2+'Dés de vie'!J$13)+IF(J114="Expert",4+'Dés de vie'!J$13)+IF(J114="Master",6+'Dés de vie'!J$13)+IF(J114="Legendary",8+'Dés de vie'!J$13)</f>
        <v>0</v>
      </c>
    </row>
    <row r="185" spans="1:10" ht="15.75" hidden="1" customHeight="1" outlineLevel="1" x14ac:dyDescent="0.25">
      <c r="A185" s="43" t="s">
        <v>69</v>
      </c>
      <c r="B185" s="201">
        <f>IF(B116="Clever",INT('Dés de vie'!B$13/2))+IF(B116="Trained",2+'Dés de vie'!B$13)+IF(B116="Expert",4+'Dés de vie'!B$13)+IF(B116="Master",6+'Dés de vie'!B$13)+IF(B116="Legendary",8+'Dés de vie'!B$13)</f>
        <v>0</v>
      </c>
      <c r="C185" s="26">
        <f>IF(C116="Clever",INT('Dés de vie'!C$13/2))+IF(C116="Trained",2+'Dés de vie'!C$13)+IF(C116="Expert",4+'Dés de vie'!C$13)+IF(C116="Master",6+'Dés de vie'!C$13)+IF(C116="Legendary",8+'Dés de vie'!C$13)</f>
        <v>0</v>
      </c>
      <c r="D185" s="26">
        <f>IF(D116="Clever",INT('Dés de vie'!D$13/2))+IF(D116="Trained",2+'Dés de vie'!D$13)+IF(D116="Expert",4+'Dés de vie'!D$13)+IF(D116="Master",6+'Dés de vie'!D$13)+IF(D116="Legendary",8+'Dés de vie'!D$13)</f>
        <v>0</v>
      </c>
      <c r="E185" s="26">
        <f>IF(E116="Clever",INT('Dés de vie'!E$13/2))+IF(E116="Trained",2+'Dés de vie'!E$13)+IF(E116="Expert",4+'Dés de vie'!E$13)+IF(E116="Master",6+'Dés de vie'!E$13)+IF(E116="Legendary",8+'Dés de vie'!E$13)</f>
        <v>0</v>
      </c>
      <c r="F185" s="26">
        <f>IF(F116="Clever",INT('Dés de vie'!F$13/2))+IF(F116="Trained",2+'Dés de vie'!F$13)+IF(F116="Expert",4+'Dés de vie'!F$13)+IF(F116="Master",6+'Dés de vie'!F$13)+IF(F116="Legendary",8+'Dés de vie'!F$13)</f>
        <v>0</v>
      </c>
      <c r="G185" s="26">
        <f>IF(G116="Clever",INT('Dés de vie'!G$13/2))+IF(G116="Trained",2+'Dés de vie'!G$13)+IF(G116="Expert",4+'Dés de vie'!G$13)+IF(G116="Master",6+'Dés de vie'!G$13)+IF(G116="Legendary",8+'Dés de vie'!G$13)</f>
        <v>0</v>
      </c>
      <c r="H185" s="26">
        <f>IF(H116="Clever",INT('Dés de vie'!H$13/2))+IF(H116="Trained",2+'Dés de vie'!H$13)+IF(H116="Expert",4+'Dés de vie'!H$13)+IF(H116="Master",6+'Dés de vie'!H$13)+IF(H116="Legendary",8+'Dés de vie'!H$13)</f>
        <v>0</v>
      </c>
      <c r="I185" s="26">
        <f>IF(I116="Clever",INT('Dés de vie'!I$13/2))+IF(I116="Trained",2+'Dés de vie'!I$13)+IF(I116="Expert",4+'Dés de vie'!I$13)+IF(I116="Master",6+'Dés de vie'!I$13)+IF(I116="Legendary",8+'Dés de vie'!I$13)</f>
        <v>0</v>
      </c>
      <c r="J185" s="26">
        <f>IF(J116="Clever",INT('Dés de vie'!J$13/2))+IF(J116="Trained",2+'Dés de vie'!J$13)+IF(J116="Expert",4+'Dés de vie'!J$13)+IF(J116="Master",6+'Dés de vie'!J$13)+IF(J116="Legendary",8+'Dés de vie'!J$13)</f>
        <v>0</v>
      </c>
    </row>
    <row r="186" spans="1:10" ht="15.75" hidden="1" customHeight="1" outlineLevel="1" x14ac:dyDescent="0.25">
      <c r="A186" s="43" t="s">
        <v>57</v>
      </c>
      <c r="B186" s="201">
        <f>IF(B118="Clever",INT('Dés de vie'!B$13/2))+IF(B118="Trained",2+'Dés de vie'!B$13)+IF(B118="Expert",4+'Dés de vie'!B$13)+IF(B118="Master",6+'Dés de vie'!B$13)+IF(B118="Legendary",8+'Dés de vie'!B$13)</f>
        <v>7</v>
      </c>
      <c r="C186" s="26">
        <f>IF(C118="Clever",INT('Dés de vie'!C$13/2))+IF(C118="Trained",2+'Dés de vie'!C$13)+IF(C118="Expert",4+'Dés de vie'!C$13)+IF(C118="Master",6+'Dés de vie'!C$13)+IF(C118="Legendary",8+'Dés de vie'!C$13)</f>
        <v>9</v>
      </c>
      <c r="D186" s="26">
        <f>IF(D118="Clever",INT('Dés de vie'!D$13/2))+IF(D118="Trained",2+'Dés de vie'!D$13)+IF(D118="Expert",4+'Dés de vie'!D$13)+IF(D118="Master",6+'Dés de vie'!D$13)+IF(D118="Legendary",8+'Dés de vie'!D$13)</f>
        <v>7</v>
      </c>
      <c r="E186" s="26">
        <f>IF(E118="Clever",INT('Dés de vie'!E$13/2))+IF(E118="Trained",2+'Dés de vie'!E$13)+IF(E118="Expert",4+'Dés de vie'!E$13)+IF(E118="Master",6+'Dés de vie'!E$13)+IF(E118="Legendary",8+'Dés de vie'!E$13)</f>
        <v>0</v>
      </c>
      <c r="F186" s="26">
        <f>IF(F118="Clever",INT('Dés de vie'!F$13/2))+IF(F118="Trained",2+'Dés de vie'!F$13)+IF(F118="Expert",4+'Dés de vie'!F$13)+IF(F118="Master",6+'Dés de vie'!F$13)+IF(F118="Legendary",8+'Dés de vie'!F$13)</f>
        <v>9</v>
      </c>
      <c r="G186" s="26">
        <f>IF(G118="Clever",INT('Dés de vie'!G$13/2))+IF(G118="Trained",2+'Dés de vie'!G$13)+IF(G118="Expert",4+'Dés de vie'!G$13)+IF(G118="Master",6+'Dés de vie'!G$13)+IF(G118="Legendary",8+'Dés de vie'!G$13)</f>
        <v>0</v>
      </c>
      <c r="H186" s="26">
        <f>IF(H118="Clever",INT('Dés de vie'!H$13/2))+IF(H118="Trained",2+'Dés de vie'!H$13)+IF(H118="Expert",4+'Dés de vie'!H$13)+IF(H118="Master",6+'Dés de vie'!H$13)+IF(H118="Legendary",8+'Dés de vie'!H$13)</f>
        <v>0</v>
      </c>
      <c r="I186" s="26">
        <f>IF(I118="Clever",INT('Dés de vie'!I$13/2))+IF(I118="Trained",2+'Dés de vie'!I$13)+IF(I118="Expert",4+'Dés de vie'!I$13)+IF(I118="Master",6+'Dés de vie'!I$13)+IF(I118="Legendary",8+'Dés de vie'!I$13)</f>
        <v>7</v>
      </c>
      <c r="J186" s="26">
        <f>IF(J118="Clever",INT('Dés de vie'!J$13/2))+IF(J118="Trained",2+'Dés de vie'!J$13)+IF(J118="Expert",4+'Dés de vie'!J$13)+IF(J118="Master",6+'Dés de vie'!J$13)+IF(J118="Legendary",8+'Dés de vie'!J$13)</f>
        <v>0</v>
      </c>
    </row>
    <row r="187" spans="1:10" ht="15.75" hidden="1" customHeight="1" outlineLevel="1" x14ac:dyDescent="0.25">
      <c r="A187" s="43" t="s">
        <v>58</v>
      </c>
      <c r="B187" s="201">
        <f>IF(B120="Clever",INT('Dés de vie'!B$13/2))+IF(B120="Trained",2+'Dés de vie'!B$13)+IF(B120="Expert",4+'Dés de vie'!B$13)+IF(B120="Master",6+'Dés de vie'!B$13)+IF(B120="Legendary",8+'Dés de vie'!B$13)</f>
        <v>9</v>
      </c>
      <c r="C187" s="26">
        <f>IF(C120="Clever",INT('Dés de vie'!C$13/2))+IF(C120="Trained",2+'Dés de vie'!C$13)+IF(C120="Expert",4+'Dés de vie'!C$13)+IF(C120="Master",6+'Dés de vie'!C$13)+IF(C120="Legendary",8+'Dés de vie'!C$13)</f>
        <v>0</v>
      </c>
      <c r="D187" s="26">
        <f>IF(D120="Clever",INT('Dés de vie'!D$13/2))+IF(D120="Trained",2+'Dés de vie'!D$13)+IF(D120="Expert",4+'Dés de vie'!D$13)+IF(D120="Master",6+'Dés de vie'!D$13)+IF(D120="Legendary",8+'Dés de vie'!D$13)</f>
        <v>0</v>
      </c>
      <c r="E187" s="26">
        <f>IF(E120="Clever",INT('Dés de vie'!E$13/2))+IF(E120="Trained",2+'Dés de vie'!E$13)+IF(E120="Expert",4+'Dés de vie'!E$13)+IF(E120="Master",6+'Dés de vie'!E$13)+IF(E120="Legendary",8+'Dés de vie'!E$13)</f>
        <v>0</v>
      </c>
      <c r="F187" s="26">
        <f>IF(F120="Clever",INT('Dés de vie'!F$13/2))+IF(F120="Trained",2+'Dés de vie'!F$13)+IF(F120="Expert",4+'Dés de vie'!F$13)+IF(F120="Master",6+'Dés de vie'!F$13)+IF(F120="Legendary",8+'Dés de vie'!F$13)</f>
        <v>7</v>
      </c>
      <c r="G187" s="26">
        <f>IF(G120="Clever",INT('Dés de vie'!G$13/2))+IF(G120="Trained",2+'Dés de vie'!G$13)+IF(G120="Expert",4+'Dés de vie'!G$13)+IF(G120="Master",6+'Dés de vie'!G$13)+IF(G120="Legendary",8+'Dés de vie'!G$13)</f>
        <v>0</v>
      </c>
      <c r="H187" s="26">
        <f>IF(H120="Clever",INT('Dés de vie'!H$13/2))+IF(H120="Trained",2+'Dés de vie'!H$13)+IF(H120="Expert",4+'Dés de vie'!H$13)+IF(H120="Master",6+'Dés de vie'!H$13)+IF(H120="Legendary",8+'Dés de vie'!H$13)</f>
        <v>0</v>
      </c>
      <c r="I187" s="26">
        <f>IF(I120="Clever",INT('Dés de vie'!I$13/2))+IF(I120="Trained",2+'Dés de vie'!I$13)+IF(I120="Expert",4+'Dés de vie'!I$13)+IF(I120="Master",6+'Dés de vie'!I$13)+IF(I120="Legendary",8+'Dés de vie'!I$13)</f>
        <v>7</v>
      </c>
      <c r="J187" s="26">
        <f>IF(J120="Clever",INT('Dés de vie'!J$13/2))+IF(J120="Trained",2+'Dés de vie'!J$13)+IF(J120="Expert",4+'Dés de vie'!J$13)+IF(J120="Master",6+'Dés de vie'!J$13)+IF(J120="Legendary",8+'Dés de vie'!J$13)</f>
        <v>0</v>
      </c>
    </row>
    <row r="188" spans="1:10" ht="15.75" hidden="1" customHeight="1" outlineLevel="1" x14ac:dyDescent="0.25">
      <c r="A188" s="43" t="s">
        <v>59</v>
      </c>
      <c r="B188" s="201">
        <f>IF(B122="Clever",INT('Dés de vie'!B$13/2))+IF(B122="Trained",2+'Dés de vie'!B$13)+IF(B122="Expert",4+'Dés de vie'!B$13)+IF(B122="Master",6+'Dés de vie'!B$13)+IF(B122="Legendary",8+'Dés de vie'!B$13)</f>
        <v>0</v>
      </c>
      <c r="C188" s="26">
        <f>IF(C122="Clever",INT('Dés de vie'!C$13/2))+IF(C122="Trained",2+'Dés de vie'!C$13)+IF(C122="Expert",4+'Dés de vie'!C$13)+IF(C122="Master",6+'Dés de vie'!C$13)+IF(C122="Legendary",8+'Dés de vie'!C$13)</f>
        <v>0</v>
      </c>
      <c r="D188" s="26">
        <f>IF(D122="Clever",INT('Dés de vie'!D$13/2))+IF(D122="Trained",2+'Dés de vie'!D$13)+IF(D122="Expert",4+'Dés de vie'!D$13)+IF(D122="Master",6+'Dés de vie'!D$13)+IF(D122="Legendary",8+'Dés de vie'!D$13)</f>
        <v>7</v>
      </c>
      <c r="E188" s="26">
        <f>IF(E122="Clever",INT('Dés de vie'!E$13/2))+IF(E122="Trained",2+'Dés de vie'!E$13)+IF(E122="Expert",4+'Dés de vie'!E$13)+IF(E122="Master",6+'Dés de vie'!E$13)+IF(E122="Legendary",8+'Dés de vie'!E$13)</f>
        <v>0</v>
      </c>
      <c r="F188" s="26">
        <f>IF(F122="Clever",INT('Dés de vie'!F$13/2))+IF(F122="Trained",2+'Dés de vie'!F$13)+IF(F122="Expert",4+'Dés de vie'!F$13)+IF(F122="Master",6+'Dés de vie'!F$13)+IF(F122="Legendary",8+'Dés de vie'!F$13)</f>
        <v>0</v>
      </c>
      <c r="G188" s="26">
        <f>IF(G122="Clever",INT('Dés de vie'!G$13/2))+IF(G122="Trained",2+'Dés de vie'!G$13)+IF(G122="Expert",4+'Dés de vie'!G$13)+IF(G122="Master",6+'Dés de vie'!G$13)+IF(G122="Legendary",8+'Dés de vie'!G$13)</f>
        <v>7</v>
      </c>
      <c r="H188" s="26">
        <f>IF(H122="Clever",INT('Dés de vie'!H$13/2))+IF(H122="Trained",2+'Dés de vie'!H$13)+IF(H122="Expert",4+'Dés de vie'!H$13)+IF(H122="Master",6+'Dés de vie'!H$13)+IF(H122="Legendary",8+'Dés de vie'!H$13)</f>
        <v>0</v>
      </c>
      <c r="I188" s="26">
        <f>IF(I122="Clever",INT('Dés de vie'!I$13/2))+IF(I122="Trained",2+'Dés de vie'!I$13)+IF(I122="Expert",4+'Dés de vie'!I$13)+IF(I122="Master",6+'Dés de vie'!I$13)+IF(I122="Legendary",8+'Dés de vie'!I$13)</f>
        <v>0</v>
      </c>
      <c r="J188" s="26">
        <f>IF(J122="Clever",INT('Dés de vie'!J$13/2))+IF(J122="Trained",2+'Dés de vie'!J$13)+IF(J122="Expert",4+'Dés de vie'!J$13)+IF(J122="Master",6+'Dés de vie'!J$13)+IF(J122="Legendary",8+'Dés de vie'!J$13)</f>
        <v>0</v>
      </c>
    </row>
    <row r="189" spans="1:10" ht="15.75" hidden="1" customHeight="1" outlineLevel="1" x14ac:dyDescent="0.25">
      <c r="A189" s="43" t="s">
        <v>60</v>
      </c>
      <c r="B189" s="201">
        <f>IF(B124="Clever",INT('Dés de vie'!B$13/2))+IF(B124="Trained",2+'Dés de vie'!B$13)+IF(B124="Expert",4+'Dés de vie'!B$13)+IF(B124="Master",6+'Dés de vie'!B$13)+IF(B124="Legendary",8+'Dés de vie'!B$13)</f>
        <v>9</v>
      </c>
      <c r="C189" s="26">
        <f>IF(C124="Clever",INT('Dés de vie'!C$13/2))+IF(C124="Trained",2+'Dés de vie'!C$13)+IF(C124="Expert",4+'Dés de vie'!C$13)+IF(C124="Master",6+'Dés de vie'!C$13)+IF(C124="Legendary",8+'Dés de vie'!C$13)</f>
        <v>9</v>
      </c>
      <c r="D189" s="26">
        <f>IF(D124="Clever",INT('Dés de vie'!D$13/2))+IF(D124="Trained",2+'Dés de vie'!D$13)+IF(D124="Expert",4+'Dés de vie'!D$13)+IF(D124="Master",6+'Dés de vie'!D$13)+IF(D124="Legendary",8+'Dés de vie'!D$13)</f>
        <v>7</v>
      </c>
      <c r="E189" s="26">
        <f>IF(E124="Clever",INT('Dés de vie'!E$13/2))+IF(E124="Trained",2+'Dés de vie'!E$13)+IF(E124="Expert",4+'Dés de vie'!E$13)+IF(E124="Master",6+'Dés de vie'!E$13)+IF(E124="Legendary",8+'Dés de vie'!E$13)</f>
        <v>0</v>
      </c>
      <c r="F189" s="26">
        <f>IF(F124="Clever",INT('Dés de vie'!F$13/2))+IF(F124="Trained",2+'Dés de vie'!F$13)+IF(F124="Expert",4+'Dés de vie'!F$13)+IF(F124="Master",6+'Dés de vie'!F$13)+IF(F124="Legendary",8+'Dés de vie'!F$13)</f>
        <v>0</v>
      </c>
      <c r="G189" s="26">
        <f>IF(G124="Clever",INT('Dés de vie'!G$13/2))+IF(G124="Trained",2+'Dés de vie'!G$13)+IF(G124="Expert",4+'Dés de vie'!G$13)+IF(G124="Master",6+'Dés de vie'!G$13)+IF(G124="Legendary",8+'Dés de vie'!G$13)</f>
        <v>7</v>
      </c>
      <c r="H189" s="26">
        <f>IF(H124="Clever",INT('Dés de vie'!H$13/2))+IF(H124="Trained",2+'Dés de vie'!H$13)+IF(H124="Expert",4+'Dés de vie'!H$13)+IF(H124="Master",6+'Dés de vie'!H$13)+IF(H124="Legendary",8+'Dés de vie'!H$13)</f>
        <v>0</v>
      </c>
      <c r="I189" s="26">
        <f>IF(I124="Clever",INT('Dés de vie'!I$13/2))+IF(I124="Trained",2+'Dés de vie'!I$13)+IF(I124="Expert",4+'Dés de vie'!I$13)+IF(I124="Master",6+'Dés de vie'!I$13)+IF(I124="Legendary",8+'Dés de vie'!I$13)</f>
        <v>7</v>
      </c>
      <c r="J189" s="26">
        <f>IF(J124="Clever",INT('Dés de vie'!J$13/2))+IF(J124="Trained",2+'Dés de vie'!J$13)+IF(J124="Expert",4+'Dés de vie'!J$13)+IF(J124="Master",6+'Dés de vie'!J$13)+IF(J124="Legendary",8+'Dés de vie'!J$13)</f>
        <v>0</v>
      </c>
    </row>
    <row r="190" spans="1:10" ht="15.75" hidden="1" customHeight="1" outlineLevel="1" x14ac:dyDescent="0.25">
      <c r="A190" s="43" t="s">
        <v>61</v>
      </c>
      <c r="B190" s="201">
        <f>IF(B126="Clever",INT('Dés de vie'!B$13/2))+IF(B126="Trained",2+'Dés de vie'!B$13)+IF(B126="Expert",4+'Dés de vie'!B$13)+IF(B126="Master",6+'Dés de vie'!B$13)+IF(B126="Legendary",8+'Dés de vie'!B$13)</f>
        <v>7</v>
      </c>
      <c r="C190" s="26">
        <f>IF(C126="Clever",INT('Dés de vie'!C$13/2))+IF(C126="Trained",2+'Dés de vie'!C$13)+IF(C126="Expert",4+'Dés de vie'!C$13)+IF(C126="Master",6+'Dés de vie'!C$13)+IF(C126="Legendary",8+'Dés de vie'!C$13)</f>
        <v>0</v>
      </c>
      <c r="D190" s="26">
        <f>IF(D126="Clever",INT('Dés de vie'!D$13/2))+IF(D126="Trained",2+'Dés de vie'!D$13)+IF(D126="Expert",4+'Dés de vie'!D$13)+IF(D126="Master",6+'Dés de vie'!D$13)+IF(D126="Legendary",8+'Dés de vie'!D$13)</f>
        <v>0</v>
      </c>
      <c r="E190" s="26">
        <f>IF(E126="Clever",INT('Dés de vie'!E$13/2))+IF(E126="Trained",2+'Dés de vie'!E$13)+IF(E126="Expert",4+'Dés de vie'!E$13)+IF(E126="Master",6+'Dés de vie'!E$13)+IF(E126="Legendary",8+'Dés de vie'!E$13)</f>
        <v>0</v>
      </c>
      <c r="F190" s="26">
        <f>IF(F126="Clever",INT('Dés de vie'!F$13/2))+IF(F126="Trained",2+'Dés de vie'!F$13)+IF(F126="Expert",4+'Dés de vie'!F$13)+IF(F126="Master",6+'Dés de vie'!F$13)+IF(F126="Legendary",8+'Dés de vie'!F$13)</f>
        <v>7</v>
      </c>
      <c r="G190" s="26">
        <f>IF(G126="Clever",INT('Dés de vie'!G$13/2))+IF(G126="Trained",2+'Dés de vie'!G$13)+IF(G126="Expert",4+'Dés de vie'!G$13)+IF(G126="Master",6+'Dés de vie'!G$13)+IF(G126="Legendary",8+'Dés de vie'!G$13)</f>
        <v>0</v>
      </c>
      <c r="H190" s="26">
        <f>IF(H126="Clever",INT('Dés de vie'!H$13/2))+IF(H126="Trained",2+'Dés de vie'!H$13)+IF(H126="Expert",4+'Dés de vie'!H$13)+IF(H126="Master",6+'Dés de vie'!H$13)+IF(H126="Legendary",8+'Dés de vie'!H$13)</f>
        <v>0</v>
      </c>
      <c r="I190" s="26">
        <f>IF(I126="Clever",INT('Dés de vie'!I$13/2))+IF(I126="Trained",2+'Dés de vie'!I$13)+IF(I126="Expert",4+'Dés de vie'!I$13)+IF(I126="Master",6+'Dés de vie'!I$13)+IF(I126="Legendary",8+'Dés de vie'!I$13)</f>
        <v>0</v>
      </c>
      <c r="J190" s="26">
        <f>IF(J126="Clever",INT('Dés de vie'!J$13/2))+IF(J126="Trained",2+'Dés de vie'!J$13)+IF(J126="Expert",4+'Dés de vie'!J$13)+IF(J126="Master",6+'Dés de vie'!J$13)+IF(J126="Legendary",8+'Dés de vie'!J$13)</f>
        <v>0</v>
      </c>
    </row>
    <row r="191" spans="1:10" ht="15.75" hidden="1" customHeight="1" outlineLevel="1" x14ac:dyDescent="0.25">
      <c r="A191" s="43" t="s">
        <v>62</v>
      </c>
      <c r="B191" s="201">
        <f>IF(B128="Clever",INT('Dés de vie'!B$13/2))+IF(B128="Trained",2+'Dés de vie'!B$13)+IF(B128="Expert",4+'Dés de vie'!B$13)+IF(B128="Master",6+'Dés de vie'!B$13)+IF(B128="Legendary",8+'Dés de vie'!B$13)</f>
        <v>0</v>
      </c>
      <c r="C191" s="26">
        <f>IF(C128="Clever",INT('Dés de vie'!C$13/2))+IF(C128="Trained",2+'Dés de vie'!C$13)+IF(C128="Expert",4+'Dés de vie'!C$13)+IF(C128="Master",6+'Dés de vie'!C$13)+IF(C128="Legendary",8+'Dés de vie'!C$13)</f>
        <v>7</v>
      </c>
      <c r="D191" s="26">
        <f>IF(D128="Clever",INT('Dés de vie'!D$13/2))+IF(D128="Trained",2+'Dés de vie'!D$13)+IF(D128="Expert",4+'Dés de vie'!D$13)+IF(D128="Master",6+'Dés de vie'!D$13)+IF(D128="Legendary",8+'Dés de vie'!D$13)</f>
        <v>9</v>
      </c>
      <c r="E191" s="26">
        <f>IF(E128="Clever",INT('Dés de vie'!E$13/2))+IF(E128="Trained",2+'Dés de vie'!E$13)+IF(E128="Expert",4+'Dés de vie'!E$13)+IF(E128="Master",6+'Dés de vie'!E$13)+IF(E128="Legendary",8+'Dés de vie'!E$13)</f>
        <v>0</v>
      </c>
      <c r="F191" s="26">
        <f>IF(F128="Clever",INT('Dés de vie'!F$13/2))+IF(F128="Trained",2+'Dés de vie'!F$13)+IF(F128="Expert",4+'Dés de vie'!F$13)+IF(F128="Master",6+'Dés de vie'!F$13)+IF(F128="Legendary",8+'Dés de vie'!F$13)</f>
        <v>0</v>
      </c>
      <c r="G191" s="26">
        <f>IF(G128="Clever",INT('Dés de vie'!G$13/2))+IF(G128="Trained",2+'Dés de vie'!G$13)+IF(G128="Expert",4+'Dés de vie'!G$13)+IF(G128="Master",6+'Dés de vie'!G$13)+IF(G128="Legendary",8+'Dés de vie'!G$13)</f>
        <v>7</v>
      </c>
      <c r="H191" s="26">
        <f>IF(H128="Clever",INT('Dés de vie'!H$13/2))+IF(H128="Trained",2+'Dés de vie'!H$13)+IF(H128="Expert",4+'Dés de vie'!H$13)+IF(H128="Master",6+'Dés de vie'!H$13)+IF(H128="Legendary",8+'Dés de vie'!H$13)</f>
        <v>0</v>
      </c>
      <c r="I191" s="26">
        <f>IF(I128="Clever",INT('Dés de vie'!I$13/2))+IF(I128="Trained",2+'Dés de vie'!I$13)+IF(I128="Expert",4+'Dés de vie'!I$13)+IF(I128="Master",6+'Dés de vie'!I$13)+IF(I128="Legendary",8+'Dés de vie'!I$13)</f>
        <v>7</v>
      </c>
      <c r="J191" s="26">
        <f>IF(J128="Clever",INT('Dés de vie'!J$13/2))+IF(J128="Trained",2+'Dés de vie'!J$13)+IF(J128="Expert",4+'Dés de vie'!J$13)+IF(J128="Master",6+'Dés de vie'!J$13)+IF(J128="Legendary",8+'Dés de vie'!J$13)</f>
        <v>0</v>
      </c>
    </row>
    <row r="192" spans="1:10" ht="15.75" hidden="1" customHeight="1" outlineLevel="1" x14ac:dyDescent="0.25">
      <c r="A192" s="39" t="s">
        <v>23</v>
      </c>
      <c r="B192" s="201">
        <f>IF(B130="Clever",INT('Dés de vie'!B$13/2))+IF(B130="Trained",2+'Dés de vie'!B$13)+IF(B130="Expert",4+'Dés de vie'!B$13)+IF(B130="Master",6+'Dés de vie'!B$13)+IF(B130="Legendary",8+'Dés de vie'!B$13)</f>
        <v>0</v>
      </c>
      <c r="C192" s="26">
        <f>IF(C130="Clever",INT('Dés de vie'!C$13/2))+IF(C130="Trained",2+'Dés de vie'!C$13)+IF(C130="Expert",4+'Dés de vie'!C$13)+IF(C130="Master",6+'Dés de vie'!C$13)+IF(C130="Legendary",8+'Dés de vie'!C$13)</f>
        <v>0</v>
      </c>
      <c r="D192" s="26">
        <f>IF(D130="Clever",INT('Dés de vie'!D$13/2))+IF(D130="Trained",2+'Dés de vie'!D$13)+IF(D130="Expert",4+'Dés de vie'!D$13)+IF(D130="Master",6+'Dés de vie'!D$13)+IF(D130="Legendary",8+'Dés de vie'!D$13)</f>
        <v>0</v>
      </c>
      <c r="E192" s="26">
        <f>IF(E130="Clever",INT('Dés de vie'!E$13/2))+IF(E130="Trained",2+'Dés de vie'!E$13)+IF(E130="Expert",4+'Dés de vie'!E$13)+IF(E130="Master",6+'Dés de vie'!E$13)+IF(E130="Legendary",8+'Dés de vie'!E$13)</f>
        <v>7</v>
      </c>
      <c r="F192" s="26">
        <f>IF(F130="Clever",INT('Dés de vie'!F$13/2))+IF(F130="Trained",2+'Dés de vie'!F$13)+IF(F130="Expert",4+'Dés de vie'!F$13)+IF(F130="Master",6+'Dés de vie'!F$13)+IF(F130="Legendary",8+'Dés de vie'!F$13)</f>
        <v>7</v>
      </c>
      <c r="G192" s="26">
        <f>IF(G130="Clever",INT('Dés de vie'!G$13/2))+IF(G130="Trained",2+'Dés de vie'!G$13)+IF(G130="Expert",4+'Dés de vie'!G$13)+IF(G130="Master",6+'Dés de vie'!G$13)+IF(G130="Legendary",8+'Dés de vie'!G$13)</f>
        <v>7</v>
      </c>
      <c r="H192" s="26">
        <f>IF(H130="Clever",INT('Dés de vie'!H$13/2))+IF(H130="Trained",2+'Dés de vie'!H$13)+IF(H130="Expert",4+'Dés de vie'!H$13)+IF(H130="Master",6+'Dés de vie'!H$13)+IF(H130="Legendary",8+'Dés de vie'!H$13)</f>
        <v>7</v>
      </c>
      <c r="I192" s="26">
        <f>IF(I130="Clever",INT('Dés de vie'!I$13/2))+IF(I130="Trained",2+'Dés de vie'!I$13)+IF(I130="Expert",4+'Dés de vie'!I$13)+IF(I130="Master",6+'Dés de vie'!I$13)+IF(I130="Legendary",8+'Dés de vie'!I$13)</f>
        <v>9</v>
      </c>
      <c r="J192" s="26">
        <f>IF(J130="Clever",INT('Dés de vie'!J$13/2))+IF(J130="Trained",2+'Dés de vie'!J$13)+IF(J130="Expert",4+'Dés de vie'!J$13)+IF(J130="Master",6+'Dés de vie'!J$13)+IF(J130="Legendary",8+'Dés de vie'!J$13)</f>
        <v>7</v>
      </c>
    </row>
    <row r="193" spans="1:10" ht="15.75" hidden="1" customHeight="1" outlineLevel="1" x14ac:dyDescent="0.25">
      <c r="A193" s="39" t="s">
        <v>24</v>
      </c>
      <c r="B193" s="201">
        <f>IF(B132="Clever",INT('Dés de vie'!B$13/2))+IF(B132="Trained",2+'Dés de vie'!B$13)+IF(B132="Expert",4+'Dés de vie'!B$13)+IF(B132="Master",6+'Dés de vie'!B$13)+IF(B132="Legendary",8+'Dés de vie'!B$13)</f>
        <v>7</v>
      </c>
      <c r="C193" s="26">
        <f>IF(C132="Clever",INT('Dés de vie'!C$13/2))+IF(C132="Trained",2+'Dés de vie'!C$13)+IF(C132="Expert",4+'Dés de vie'!C$13)+IF(C132="Master",6+'Dés de vie'!C$13)+IF(C132="Legendary",8+'Dés de vie'!C$13)</f>
        <v>7</v>
      </c>
      <c r="D193" s="26">
        <f>IF(D132="Clever",INT('Dés de vie'!D$13/2))+IF(D132="Trained",2+'Dés de vie'!D$13)+IF(D132="Expert",4+'Dés de vie'!D$13)+IF(D132="Master",6+'Dés de vie'!D$13)+IF(D132="Legendary",8+'Dés de vie'!D$13)</f>
        <v>0</v>
      </c>
      <c r="E193" s="26">
        <f>IF(E132="Clever",INT('Dés de vie'!E$13/2))+IF(E132="Trained",2+'Dés de vie'!E$13)+IF(E132="Expert",4+'Dés de vie'!E$13)+IF(E132="Master",6+'Dés de vie'!E$13)+IF(E132="Legendary",8+'Dés de vie'!E$13)</f>
        <v>7</v>
      </c>
      <c r="F193" s="26">
        <f>IF(F132="Clever",INT('Dés de vie'!F$13/2))+IF(F132="Trained",2+'Dés de vie'!F$13)+IF(F132="Expert",4+'Dés de vie'!F$13)+IF(F132="Master",6+'Dés de vie'!F$13)+IF(F132="Legendary",8+'Dés de vie'!F$13)</f>
        <v>7</v>
      </c>
      <c r="G193" s="26">
        <f>IF(G132="Clever",INT('Dés de vie'!G$13/2))+IF(G132="Trained",2+'Dés de vie'!G$13)+IF(G132="Expert",4+'Dés de vie'!G$13)+IF(G132="Master",6+'Dés de vie'!G$13)+IF(G132="Legendary",8+'Dés de vie'!G$13)</f>
        <v>7</v>
      </c>
      <c r="H193" s="26">
        <f>IF(H132="Clever",INT('Dés de vie'!H$13/2))+IF(H132="Trained",2+'Dés de vie'!H$13)+IF(H132="Expert",4+'Dés de vie'!H$13)+IF(H132="Master",6+'Dés de vie'!H$13)+IF(H132="Legendary",8+'Dés de vie'!H$13)</f>
        <v>7</v>
      </c>
      <c r="I193" s="26">
        <f>IF(I132="Clever",INT('Dés de vie'!I$13/2))+IF(I132="Trained",2+'Dés de vie'!I$13)+IF(I132="Expert",4+'Dés de vie'!I$13)+IF(I132="Master",6+'Dés de vie'!I$13)+IF(I132="Legendary",8+'Dés de vie'!I$13)</f>
        <v>7</v>
      </c>
      <c r="J193" s="26">
        <f>IF(J132="Clever",INT('Dés de vie'!J$13/2))+IF(J132="Trained",2+'Dés de vie'!J$13)+IF(J132="Expert",4+'Dés de vie'!J$13)+IF(J132="Master",6+'Dés de vie'!J$13)+IF(J132="Legendary",8+'Dés de vie'!J$13)</f>
        <v>0</v>
      </c>
    </row>
    <row r="194" spans="1:10" ht="15.75" hidden="1" customHeight="1" outlineLevel="1" thickBot="1" x14ac:dyDescent="0.3">
      <c r="A194" s="48" t="s">
        <v>63</v>
      </c>
      <c r="B194" s="202">
        <f>IF(B134="Clever",INT('Dés de vie'!B$13/2))+IF(B134="Trained",2+'Dés de vie'!B$13)+IF(B134="Expert",4+'Dés de vie'!B$13)+IF(B134="Master",6+'Dés de vie'!B$13)+IF(B134="Legendary",8+'Dés de vie'!B$13)</f>
        <v>0</v>
      </c>
      <c r="C194" s="92">
        <f>IF(C134="Clever",INT('Dés de vie'!C$13/2))+IF(C134="Trained",2+'Dés de vie'!C$13)+IF(C134="Expert",4+'Dés de vie'!C$13)+IF(C134="Master",6+'Dés de vie'!C$13)+IF(C134="Legendary",8+'Dés de vie'!C$13)</f>
        <v>0</v>
      </c>
      <c r="D194" s="92">
        <f>IF(D134="Clever",INT('Dés de vie'!D$13/2))+IF(D134="Trained",2+'Dés de vie'!D$13)+IF(D134="Expert",4+'Dés de vie'!D$13)+IF(D134="Master",6+'Dés de vie'!D$13)+IF(D134="Legendary",8+'Dés de vie'!D$13)</f>
        <v>0</v>
      </c>
      <c r="E194" s="92">
        <f>IF(E134="Clever",INT('Dés de vie'!E$13/2))+IF(E134="Trained",2+'Dés de vie'!E$13)+IF(E134="Expert",4+'Dés de vie'!E$13)+IF(E134="Master",6+'Dés de vie'!E$13)+IF(E134="Legendary",8+'Dés de vie'!E$13)</f>
        <v>7</v>
      </c>
      <c r="F194" s="92">
        <f>IF(F134="Clever",INT('Dés de vie'!F$13/2))+IF(F134="Trained",2+'Dés de vie'!F$13)+IF(F134="Expert",4+'Dés de vie'!F$13)+IF(F134="Master",6+'Dés de vie'!F$13)+IF(F134="Legendary",8+'Dés de vie'!F$13)</f>
        <v>0</v>
      </c>
      <c r="G194" s="92">
        <f>IF(G134="Clever",INT('Dés de vie'!G$13/2))+IF(G134="Trained",2+'Dés de vie'!G$13)+IF(G134="Expert",4+'Dés de vie'!G$13)+IF(G134="Master",6+'Dés de vie'!G$13)+IF(G134="Legendary",8+'Dés de vie'!G$13)</f>
        <v>7</v>
      </c>
      <c r="H194" s="92">
        <f>IF(H134="Clever",INT('Dés de vie'!H$13/2))+IF(H134="Trained",2+'Dés de vie'!H$13)+IF(H134="Expert",4+'Dés de vie'!H$13)+IF(H134="Master",6+'Dés de vie'!H$13)+IF(H134="Legendary",8+'Dés de vie'!H$13)</f>
        <v>0</v>
      </c>
      <c r="I194" s="92">
        <f>IF(I134="Clever",INT('Dés de vie'!I$13/2))+IF(I134="Trained",2+'Dés de vie'!I$13)+IF(I134="Expert",4+'Dés de vie'!I$13)+IF(I134="Master",6+'Dés de vie'!I$13)+IF(I134="Legendary",8+'Dés de vie'!I$13)</f>
        <v>7</v>
      </c>
      <c r="J194" s="92">
        <f>IF(J134="Clever",INT('Dés de vie'!J$13/2))+IF(J134="Trained",2+'Dés de vie'!J$13)+IF(J134="Expert",4+'Dés de vie'!J$13)+IF(J134="Master",6+'Dés de vie'!J$13)+IF(J134="Legendary",8+'Dés de vie'!J$13)</f>
        <v>0</v>
      </c>
    </row>
    <row r="195" spans="1:10" ht="15.75" hidden="1" customHeight="1" outlineLevel="1" collapsed="1" x14ac:dyDescent="0.25">
      <c r="A195" s="203" t="s">
        <v>72</v>
      </c>
      <c r="B195" s="824">
        <f>IF(B137="Trained",2+'Dés de vie'!B$13)+IF(B137="Expert",4+'Dés de vie'!B$13)+IF(B137="Master",6+'Dés de vie'!B$13)+IF(B137="Legendary",8+'Dés de vie'!B$13)</f>
        <v>7</v>
      </c>
      <c r="C195" s="825">
        <f>IF(C137="Trained",2+'Dés de vie'!C$13)+IF(C137="Expert",4+'Dés de vie'!C$13)+IF(C137="Master",6+'Dés de vie'!C$13)+IF(C137="Legendary",8+'Dés de vie'!C$13)</f>
        <v>0</v>
      </c>
      <c r="D195" s="825">
        <f>IF(D137="Trained",2+'Dés de vie'!D$13)+IF(D137="Expert",4+'Dés de vie'!D$13)+IF(D137="Master",6+'Dés de vie'!D$13)+IF(D137="Legendary",8+'Dés de vie'!D$13)</f>
        <v>7</v>
      </c>
      <c r="E195" s="825">
        <f>IF(E137="Trained",2+'Dés de vie'!E$13)+IF(E137="Expert",4+'Dés de vie'!E$13)+IF(E137="Master",6+'Dés de vie'!E$13)+IF(E137="Legendary",8+'Dés de vie'!E$13)</f>
        <v>9</v>
      </c>
      <c r="F195" s="825">
        <f>IF(F137="Trained",2+'Dés de vie'!F$13)+IF(F137="Expert",4+'Dés de vie'!F$13)+IF(F137="Master",6+'Dés de vie'!F$13)+IF(F137="Legendary",8+'Dés de vie'!F$13)</f>
        <v>7</v>
      </c>
      <c r="G195" s="825">
        <f>IF(G137="Trained",2+'Dés de vie'!G$13)+IF(G137="Expert",4+'Dés de vie'!G$13)+IF(G137="Master",6+'Dés de vie'!G$13)+IF(G137="Legendary",8+'Dés de vie'!G$13)</f>
        <v>9</v>
      </c>
      <c r="H195" s="825">
        <f>IF(H137="Trained",2+'Dés de vie'!H$13)+IF(H137="Expert",4+'Dés de vie'!H$13)+IF(H137="Master",6+'Dés de vie'!H$13)+IF(H137="Legendary",8+'Dés de vie'!H$13)</f>
        <v>9</v>
      </c>
      <c r="I195" s="825">
        <f>IF(I137="Trained",2+'Dés de vie'!I$13)+IF(I137="Expert",4+'Dés de vie'!I$13)+IF(I137="Master",6+'Dés de vie'!I$13)+IF(I137="Legendary",8+'Dés de vie'!I$13)</f>
        <v>9</v>
      </c>
      <c r="J195" s="825">
        <f>IF(J137="Trained",2+'Dés de vie'!J$13)+IF(J137="Expert",4+'Dés de vie'!J$13)+IF(J137="Master",6+'Dés de vie'!J$13)+IF(J137="Legendary",8+'Dés de vie'!J$13)</f>
        <v>0</v>
      </c>
    </row>
    <row r="196" spans="1:10" ht="15.75" hidden="1" customHeight="1" outlineLevel="1" x14ac:dyDescent="0.25">
      <c r="A196" s="204" t="s">
        <v>73</v>
      </c>
      <c r="B196" s="797">
        <f>IF(B139="Trained",2+'Dés de vie'!B$13)+IF(B139="Expert",4+'Dés de vie'!B$13)+IF(B139="Master",6+'Dés de vie'!B$13)+IF(B139="Legendary",8+'Dés de vie'!B$13)</f>
        <v>0</v>
      </c>
      <c r="C196" s="114">
        <f>IF(C139="Trained",2+'Dés de vie'!C$13)+IF(C139="Expert",4+'Dés de vie'!C$13)+IF(C139="Master",6+'Dés de vie'!C$13)+IF(C139="Legendary",8+'Dés de vie'!C$13)</f>
        <v>0</v>
      </c>
      <c r="D196" s="114">
        <f>IF(D139="Trained",2+'Dés de vie'!D$13)+IF(D139="Expert",4+'Dés de vie'!D$13)+IF(D139="Master",6+'Dés de vie'!D$13)+IF(D139="Legendary",8+'Dés de vie'!D$13)</f>
        <v>0</v>
      </c>
      <c r="E196" s="114">
        <f>IF(E139="Trained",2+'Dés de vie'!E$13)+IF(E139="Expert",4+'Dés de vie'!E$13)+IF(E139="Master",6+'Dés de vie'!E$13)+IF(E139="Legendary",8+'Dés de vie'!E$13)</f>
        <v>9</v>
      </c>
      <c r="F196" s="114">
        <f>IF(F139="Trained",2+'Dés de vie'!F$13)+IF(F139="Expert",4+'Dés de vie'!F$13)+IF(F139="Master",6+'Dés de vie'!F$13)+IF(F139="Legendary",8+'Dés de vie'!F$13)</f>
        <v>0</v>
      </c>
      <c r="G196" s="114">
        <f>IF(G139="Trained",2+'Dés de vie'!G$13)+IF(G139="Expert",4+'Dés de vie'!G$13)+IF(G139="Master",6+'Dés de vie'!G$13)+IF(G139="Legendary",8+'Dés de vie'!G$13)</f>
        <v>0</v>
      </c>
      <c r="H196" s="114">
        <f>IF(H139="Trained",2+'Dés de vie'!H$13)+IF(H139="Expert",4+'Dés de vie'!H$13)+IF(H139="Master",6+'Dés de vie'!H$13)+IF(H139="Legendary",8+'Dés de vie'!H$13)</f>
        <v>9</v>
      </c>
      <c r="I196" s="114">
        <f>IF(I139="Trained",2+'Dés de vie'!I$13)+IF(I139="Expert",4+'Dés de vie'!I$13)+IF(I139="Master",6+'Dés de vie'!I$13)+IF(I139="Legendary",8+'Dés de vie'!I$13)</f>
        <v>0</v>
      </c>
      <c r="J196" s="114">
        <f>IF(J139="Trained",2+'Dés de vie'!J$13)+IF(J139="Expert",4+'Dés de vie'!J$13)+IF(J139="Master",6+'Dés de vie'!J$13)+IF(J139="Legendary",8+'Dés de vie'!J$13)</f>
        <v>0</v>
      </c>
    </row>
    <row r="197" spans="1:10" ht="15.75" hidden="1" customHeight="1" outlineLevel="1" x14ac:dyDescent="0.25">
      <c r="A197" s="205" t="s">
        <v>122</v>
      </c>
      <c r="B197" s="797">
        <f>IF(B141="Trained",2+'Dés de vie'!B$13)+IF(B141="Expert",4+'Dés de vie'!B$13)+IF(B141="Master",6+'Dés de vie'!B$13)+IF(B141="Legendary",8+'Dés de vie'!B$13)</f>
        <v>0</v>
      </c>
      <c r="C197" s="114">
        <f>IF(C141="Trained",2+'Dés de vie'!C$13)+IF(C141="Expert",4+'Dés de vie'!C$13)+IF(C141="Master",6+'Dés de vie'!C$13)+IF(C141="Legendary",8+'Dés de vie'!C$13)</f>
        <v>0</v>
      </c>
      <c r="D197" s="114">
        <f>IF(D141="Trained",2+'Dés de vie'!D$13)+IF(D141="Expert",4+'Dés de vie'!D$13)+IF(D141="Master",6+'Dés de vie'!D$13)+IF(D141="Legendary",8+'Dés de vie'!D$13)</f>
        <v>0</v>
      </c>
      <c r="E197" s="114">
        <f>IF(E141="Trained",2+'Dés de vie'!E$13)+IF(E141="Expert",4+'Dés de vie'!E$13)+IF(E141="Master",6+'Dés de vie'!E$13)+IF(E141="Legendary",8+'Dés de vie'!E$13)</f>
        <v>0</v>
      </c>
      <c r="F197" s="114">
        <f>IF(F141="Trained",2+'Dés de vie'!F$13)+IF(F141="Expert",4+'Dés de vie'!F$13)+IF(F141="Master",6+'Dés de vie'!F$13)+IF(F141="Legendary",8+'Dés de vie'!F$13)</f>
        <v>0</v>
      </c>
      <c r="G197" s="114">
        <f>IF(G141="Trained",2+'Dés de vie'!G$13)+IF(G141="Expert",4+'Dés de vie'!G$13)+IF(G141="Master",6+'Dés de vie'!G$13)+IF(G141="Legendary",8+'Dés de vie'!G$13)</f>
        <v>0</v>
      </c>
      <c r="H197" s="114">
        <f>IF(H141="Trained",2+'Dés de vie'!H$13)+IF(H141="Expert",4+'Dés de vie'!H$13)+IF(H141="Master",6+'Dés de vie'!H$13)+IF(H141="Legendary",8+'Dés de vie'!H$13)</f>
        <v>7</v>
      </c>
      <c r="I197" s="114">
        <f>IF(I141="Trained",2+'Dés de vie'!I$13)+IF(I141="Expert",4+'Dés de vie'!I$13)+IF(I141="Master",6+'Dés de vie'!I$13)+IF(I141="Legendary",8+'Dés de vie'!I$13)</f>
        <v>0</v>
      </c>
      <c r="J197" s="114">
        <f>IF(J141="Trained",2+'Dés de vie'!J$13)+IF(J141="Expert",4+'Dés de vie'!J$13)+IF(J141="Master",6+'Dés de vie'!J$13)+IF(J141="Legendary",8+'Dés de vie'!J$13)</f>
        <v>0</v>
      </c>
    </row>
    <row r="198" spans="1:10" ht="15.75" hidden="1" customHeight="1" outlineLevel="1" x14ac:dyDescent="0.25">
      <c r="A198" s="205" t="s">
        <v>100</v>
      </c>
      <c r="B198" s="797">
        <f>IF(B143="Trained",2+'Dés de vie'!B$13)+IF(B143="Expert",4+'Dés de vie'!B$13)+IF(B143="Master",6+'Dés de vie'!B$13)+IF(B143="Legendary",8+'Dés de vie'!B$13)</f>
        <v>0</v>
      </c>
      <c r="C198" s="114">
        <f>IF(C143="Trained",2+'Dés de vie'!C$13)+IF(C143="Expert",4+'Dés de vie'!C$13)+IF(C143="Master",6+'Dés de vie'!C$13)+IF(C143="Legendary",8+'Dés de vie'!C$13)</f>
        <v>0</v>
      </c>
      <c r="D198" s="114">
        <f>IF(D143="Trained",2+'Dés de vie'!D$13)+IF(D143="Expert",4+'Dés de vie'!D$13)+IF(D143="Master",6+'Dés de vie'!D$13)+IF(D143="Legendary",8+'Dés de vie'!D$13)</f>
        <v>0</v>
      </c>
      <c r="E198" s="114">
        <f>IF(E143="Trained",2+'Dés de vie'!E$13)+IF(E143="Expert",4+'Dés de vie'!E$13)+IF(E143="Master",6+'Dés de vie'!E$13)+IF(E143="Legendary",8+'Dés de vie'!E$13)</f>
        <v>0</v>
      </c>
      <c r="F198" s="114">
        <f>IF(F143="Trained",2+'Dés de vie'!F$13)+IF(F143="Expert",4+'Dés de vie'!F$13)+IF(F143="Master",6+'Dés de vie'!F$13)+IF(F143="Legendary",8+'Dés de vie'!F$13)</f>
        <v>0</v>
      </c>
      <c r="G198" s="114">
        <f>IF(G143="Trained",2+'Dés de vie'!G$13)+IF(G143="Expert",4+'Dés de vie'!G$13)+IF(G143="Master",6+'Dés de vie'!G$13)+IF(G143="Legendary",8+'Dés de vie'!G$13)</f>
        <v>0</v>
      </c>
      <c r="H198" s="114">
        <f>IF(H143="Trained",2+'Dés de vie'!H$13)+IF(H143="Expert",4+'Dés de vie'!H$13)+IF(H143="Master",6+'Dés de vie'!H$13)+IF(H143="Legendary",8+'Dés de vie'!H$13)</f>
        <v>0</v>
      </c>
      <c r="I198" s="114">
        <f>IF(I143="Trained",2+'Dés de vie'!I$13)+IF(I143="Expert",4+'Dés de vie'!I$13)+IF(I143="Master",6+'Dés de vie'!I$13)+IF(I143="Legendary",8+'Dés de vie'!I$13)</f>
        <v>0</v>
      </c>
      <c r="J198" s="114">
        <f>IF(J143="Trained",2+'Dés de vie'!J$13)+IF(J143="Expert",4+'Dés de vie'!J$13)+IF(J143="Master",6+'Dés de vie'!J$13)+IF(J143="Legendary",8+'Dés de vie'!J$13)</f>
        <v>0</v>
      </c>
    </row>
    <row r="199" spans="1:10" ht="15.75" hidden="1" customHeight="1" outlineLevel="1" x14ac:dyDescent="0.25">
      <c r="A199" s="204" t="s">
        <v>74</v>
      </c>
      <c r="B199" s="797">
        <f>IF(B145="Trained",2+'Dés de vie'!B$13)+IF(B145="Expert",4+'Dés de vie'!B$13)+IF(B145="Master",6+'Dés de vie'!B$13)+IF(B145="Legendary",8+'Dés de vie'!B$13)</f>
        <v>7</v>
      </c>
      <c r="C199" s="114">
        <f>IF(C145="Trained",2+'Dés de vie'!C$13)+IF(C145="Expert",4+'Dés de vie'!C$13)+IF(C145="Master",6+'Dés de vie'!C$13)+IF(C145="Legendary",8+'Dés de vie'!C$13)</f>
        <v>7</v>
      </c>
      <c r="D199" s="114">
        <f>IF(D145="Trained",2+'Dés de vie'!D$13)+IF(D145="Expert",4+'Dés de vie'!D$13)+IF(D145="Master",6+'Dés de vie'!D$13)+IF(D145="Legendary",8+'Dés de vie'!D$13)</f>
        <v>7</v>
      </c>
      <c r="E199" s="114">
        <f>IF(E145="Trained",2+'Dés de vie'!E$13)+IF(E145="Expert",4+'Dés de vie'!E$13)+IF(E145="Master",6+'Dés de vie'!E$13)+IF(E145="Legendary",8+'Dés de vie'!E$13)</f>
        <v>9</v>
      </c>
      <c r="F199" s="114">
        <f>IF(F145="Trained",2+'Dés de vie'!F$13)+IF(F145="Expert",4+'Dés de vie'!F$13)+IF(F145="Master",6+'Dés de vie'!F$13)+IF(F145="Legendary",8+'Dés de vie'!F$13)</f>
        <v>7</v>
      </c>
      <c r="G199" s="114">
        <f>IF(G145="Trained",2+'Dés de vie'!G$13)+IF(G145="Expert",4+'Dés de vie'!G$13)+IF(G145="Master",6+'Dés de vie'!G$13)+IF(G145="Legendary",8+'Dés de vie'!G$13)</f>
        <v>9</v>
      </c>
      <c r="H199" s="114">
        <f>IF(H145="Trained",2+'Dés de vie'!H$13)+IF(H145="Expert",4+'Dés de vie'!H$13)+IF(H145="Master",6+'Dés de vie'!H$13)+IF(H145="Legendary",8+'Dés de vie'!H$13)</f>
        <v>9</v>
      </c>
      <c r="I199" s="114">
        <f>IF(I145="Trained",2+'Dés de vie'!I$13)+IF(I145="Expert",4+'Dés de vie'!I$13)+IF(I145="Master",6+'Dés de vie'!I$13)+IF(I145="Legendary",8+'Dés de vie'!I$13)</f>
        <v>9</v>
      </c>
      <c r="J199" s="114">
        <f>IF(J145="Trained",2+'Dés de vie'!J$13)+IF(J145="Expert",4+'Dés de vie'!J$13)+IF(J145="Master",6+'Dés de vie'!J$13)+IF(J145="Legendary",8+'Dés de vie'!J$13)</f>
        <v>7</v>
      </c>
    </row>
    <row r="200" spans="1:10" ht="15.75" hidden="1" customHeight="1" outlineLevel="1" x14ac:dyDescent="0.25">
      <c r="A200" s="205" t="s">
        <v>101</v>
      </c>
      <c r="B200" s="797">
        <f>IF(B147="Trained",2+'Dés de vie'!B$13)+IF(B147="Expert",4+'Dés de vie'!B$13)+IF(B147="Master",6+'Dés de vie'!B$13)+IF(B147="Legendary",8+'Dés de vie'!B$13)</f>
        <v>0</v>
      </c>
      <c r="C200" s="114">
        <f>IF(C147="Trained",2+'Dés de vie'!C$13)+IF(C147="Expert",4+'Dés de vie'!C$13)+IF(C147="Master",6+'Dés de vie'!C$13)+IF(C147="Legendary",8+'Dés de vie'!C$13)</f>
        <v>7</v>
      </c>
      <c r="D200" s="114">
        <f>IF(D147="Trained",2+'Dés de vie'!D$13)+IF(D147="Expert",4+'Dés de vie'!D$13)+IF(D147="Master",6+'Dés de vie'!D$13)+IF(D147="Legendary",8+'Dés de vie'!D$13)</f>
        <v>7</v>
      </c>
      <c r="E200" s="114">
        <f>IF(E147="Trained",2+'Dés de vie'!E$13)+IF(E147="Expert",4+'Dés de vie'!E$13)+IF(E147="Master",6+'Dés de vie'!E$13)+IF(E147="Legendary",8+'Dés de vie'!E$13)</f>
        <v>9</v>
      </c>
      <c r="F200" s="114">
        <f>IF(F147="Trained",2+'Dés de vie'!F$13)+IF(F147="Expert",4+'Dés de vie'!F$13)+IF(F147="Master",6+'Dés de vie'!F$13)+IF(F147="Legendary",8+'Dés de vie'!F$13)</f>
        <v>7</v>
      </c>
      <c r="G200" s="114">
        <f>IF(G147="Trained",2+'Dés de vie'!G$13)+IF(G147="Expert",4+'Dés de vie'!G$13)+IF(G147="Master",6+'Dés de vie'!G$13)+IF(G147="Legendary",8+'Dés de vie'!G$13)</f>
        <v>9</v>
      </c>
      <c r="H200" s="114">
        <f>IF(H147="Trained",2+'Dés de vie'!H$13)+IF(H147="Expert",4+'Dés de vie'!H$13)+IF(H147="Master",6+'Dés de vie'!H$13)+IF(H147="Legendary",8+'Dés de vie'!H$13)</f>
        <v>11</v>
      </c>
      <c r="I200" s="114">
        <f>IF(I147="Trained",2+'Dés de vie'!I$13)+IF(I147="Expert",4+'Dés de vie'!I$13)+IF(I147="Master",6+'Dés de vie'!I$13)+IF(I147="Legendary",8+'Dés de vie'!I$13)</f>
        <v>9</v>
      </c>
      <c r="J200" s="114">
        <f>IF(J147="Trained",2+'Dés de vie'!J$13)+IF(J147="Expert",4+'Dés de vie'!J$13)+IF(J147="Master",6+'Dés de vie'!J$13)+IF(J147="Legendary",8+'Dés de vie'!J$13)</f>
        <v>0</v>
      </c>
    </row>
    <row r="201" spans="1:10" ht="15.75" hidden="1" customHeight="1" outlineLevel="1" thickBot="1" x14ac:dyDescent="0.3">
      <c r="A201" s="198" t="s">
        <v>101</v>
      </c>
      <c r="B201" s="826">
        <f>IF(B150="Trained",2+'Dés de vie'!B$13)+IF(B150="Expert",4+'Dés de vie'!B$13)+IF(B150="Master",6+'Dés de vie'!B$13)+IF(B150="Legendary",8+'Dés de vie'!B$13)</f>
        <v>0</v>
      </c>
      <c r="C201" s="827">
        <f>IF(C150="Trained",2+'Dés de vie'!C$13)+IF(C150="Expert",4+'Dés de vie'!C$13)+IF(C150="Master",6+'Dés de vie'!C$13)+IF(C150="Legendary",8+'Dés de vie'!C$13)</f>
        <v>0</v>
      </c>
      <c r="D201" s="827">
        <f>IF(D150="Trained",2+'Dés de vie'!D$13)+IF(D150="Expert",4+'Dés de vie'!D$13)+IF(D150="Master",6+'Dés de vie'!D$13)+IF(D150="Legendary",8+'Dés de vie'!D$13)</f>
        <v>7</v>
      </c>
      <c r="E201" s="827">
        <f>IF(E150="Trained",2+'Dés de vie'!E$13)+IF(E150="Expert",4+'Dés de vie'!E$13)+IF(E150="Master",6+'Dés de vie'!E$13)+IF(E150="Legendary",8+'Dés de vie'!E$13)</f>
        <v>0</v>
      </c>
      <c r="F201" s="827">
        <f>IF(F150="Trained",2+'Dés de vie'!F$13)+IF(F150="Expert",4+'Dés de vie'!F$13)+IF(F150="Master",6+'Dés de vie'!F$13)+IF(F150="Legendary",8+'Dés de vie'!F$13)</f>
        <v>0</v>
      </c>
      <c r="G201" s="827">
        <f>IF(G150="Trained",2+'Dés de vie'!G$13)+IF(G150="Expert",4+'Dés de vie'!G$13)+IF(G150="Master",6+'Dés de vie'!G$13)+IF(G150="Legendary",8+'Dés de vie'!G$13)</f>
        <v>0</v>
      </c>
      <c r="H201" s="827">
        <f>IF(H150="Trained",2+'Dés de vie'!H$13)+IF(H150="Expert",4+'Dés de vie'!H$13)+IF(H150="Master",6+'Dés de vie'!H$13)+IF(H150="Legendary",8+'Dés de vie'!H$13)</f>
        <v>9</v>
      </c>
      <c r="I201" s="827">
        <f>IF(I150="Trained",2+'Dés de vie'!I$13)+IF(I150="Expert",4+'Dés de vie'!I$13)+IF(I150="Master",6+'Dés de vie'!I$13)+IF(I150="Legendary",8+'Dés de vie'!I$13)</f>
        <v>0</v>
      </c>
      <c r="J201" s="827">
        <f>IF(J150="Trained",2+'Dés de vie'!J$13)+IF(J150="Expert",4+'Dés de vie'!J$13)+IF(J150="Master",6+'Dés de vie'!J$13)+IF(J150="Legendary",8+'Dés de vie'!J$13)</f>
        <v>0</v>
      </c>
    </row>
    <row r="202" spans="1:10" ht="15.75" hidden="1" customHeight="1" outlineLevel="1" x14ac:dyDescent="0.25">
      <c r="A202" s="35" t="s">
        <v>75</v>
      </c>
      <c r="B202" s="200">
        <f>IF(B154="Trained",2+'Dés de vie'!B$13)+IF(B154="Expert",4+'Dés de vie'!B$13)+IF(B154="Master",6+'Dés de vie'!B$13)+IF(B154="Legendary",8+'Dés de vie'!B$13)</f>
        <v>7</v>
      </c>
      <c r="C202" s="22">
        <f>IF(C154="Trained",2+'Dés de vie'!C$13)+IF(C154="Expert",4+'Dés de vie'!C$13)+IF(C154="Master",6+'Dés de vie'!C$13)+IF(C154="Legendary",8+'Dés de vie'!C$13)</f>
        <v>0</v>
      </c>
      <c r="D202" s="22">
        <f>IF(D154="Trained",2+'Dés de vie'!D$13)+IF(D154="Expert",4+'Dés de vie'!D$13)+IF(D154="Master",6+'Dés de vie'!D$13)+IF(D154="Legendary",8+'Dés de vie'!D$13)</f>
        <v>7</v>
      </c>
      <c r="E202" s="22">
        <f>IF(E154="Trained",2+'Dés de vie'!E$13)+IF(E154="Expert",4+'Dés de vie'!E$13)+IF(E154="Master",6+'Dés de vie'!E$13)+IF(E154="Legendary",8+'Dés de vie'!E$13)</f>
        <v>7</v>
      </c>
      <c r="F202" s="22">
        <f>IF(F154="Trained",2+'Dés de vie'!F$13)+IF(F154="Expert",4+'Dés de vie'!F$13)+IF(F154="Master",6+'Dés de vie'!F$13)+IF(F154="Legendary",8+'Dés de vie'!F$13)</f>
        <v>0</v>
      </c>
      <c r="G202" s="22">
        <f>IF(G154="Trained",2+'Dés de vie'!G$13)+IF(G154="Expert",4+'Dés de vie'!G$13)+IF(G154="Master",6+'Dés de vie'!G$13)+IF(G154="Legendary",8+'Dés de vie'!G$13)</f>
        <v>7</v>
      </c>
      <c r="H202" s="22">
        <f>IF(H154="Trained",2+'Dés de vie'!H$13)+IF(H154="Expert",4+'Dés de vie'!H$13)+IF(H154="Master",6+'Dés de vie'!H$13)+IF(H154="Legendary",8+'Dés de vie'!H$13)</f>
        <v>7</v>
      </c>
      <c r="I202" s="22">
        <f>IF(I154="Trained",2+'Dés de vie'!I$13)+IF(I154="Expert",4+'Dés de vie'!I$13)+IF(I154="Master",6+'Dés de vie'!I$13)+IF(I154="Legendary",8+'Dés de vie'!I$13)</f>
        <v>7</v>
      </c>
      <c r="J202" s="23">
        <f>IF(J154="Trained",2+'Dés de vie'!J$13)+IF(J154="Expert",4+'Dés de vie'!J$13)+IF(J154="Master",6+'Dés de vie'!J$13)+IF(J154="Legendary",8+'Dés de vie'!J$13)</f>
        <v>0</v>
      </c>
    </row>
    <row r="203" spans="1:10" ht="15.75" hidden="1" customHeight="1" outlineLevel="1" x14ac:dyDescent="0.25">
      <c r="A203" s="39" t="s">
        <v>78</v>
      </c>
      <c r="B203" s="201">
        <f>IF(B156="Trained",2+'Dés de vie'!B$13)+IF(B156="Expert",4+'Dés de vie'!B$13)+IF(B156="Master",6+'Dés de vie'!B$13)+IF(B156="Legendary",8+'Dés de vie'!B$13)</f>
        <v>7</v>
      </c>
      <c r="C203" s="26">
        <f>IF(C156="Trained",2+'Dés de vie'!C$13)+IF(C156="Expert",4+'Dés de vie'!C$13)+IF(C156="Master",6+'Dés de vie'!C$13)+IF(C156="Legendary",8+'Dés de vie'!C$13)</f>
        <v>0</v>
      </c>
      <c r="D203" s="26">
        <f>IF(D156="Trained",2+'Dés de vie'!D$13)+IF(D156="Expert",4+'Dés de vie'!D$13)+IF(D156="Master",6+'Dés de vie'!D$13)+IF(D156="Legendary",8+'Dés de vie'!D$13)</f>
        <v>0</v>
      </c>
      <c r="E203" s="26">
        <f>IF(E156="Trained",2+'Dés de vie'!E$13)+IF(E156="Expert",4+'Dés de vie'!E$13)+IF(E156="Master",6+'Dés de vie'!E$13)+IF(E156="Legendary",8+'Dés de vie'!E$13)</f>
        <v>7</v>
      </c>
      <c r="F203" s="26">
        <f>IF(F156="Trained",2+'Dés de vie'!F$13)+IF(F156="Expert",4+'Dés de vie'!F$13)+IF(F156="Master",6+'Dés de vie'!F$13)+IF(F156="Legendary",8+'Dés de vie'!F$13)</f>
        <v>0</v>
      </c>
      <c r="G203" s="26">
        <f>IF(G156="Trained",2+'Dés de vie'!G$13)+IF(G156="Expert",4+'Dés de vie'!G$13)+IF(G156="Master",6+'Dés de vie'!G$13)+IF(G156="Legendary",8+'Dés de vie'!G$13)</f>
        <v>0</v>
      </c>
      <c r="H203" s="26">
        <f>IF(H156="Trained",2+'Dés de vie'!H$13)+IF(H156="Expert",4+'Dés de vie'!H$13)+IF(H156="Master",6+'Dés de vie'!H$13)+IF(H156="Legendary",8+'Dés de vie'!H$13)</f>
        <v>7</v>
      </c>
      <c r="I203" s="26">
        <f>IF(I156="Trained",2+'Dés de vie'!I$13)+IF(I156="Expert",4+'Dés de vie'!I$13)+IF(I156="Master",6+'Dés de vie'!I$13)+IF(I156="Legendary",8+'Dés de vie'!I$13)</f>
        <v>0</v>
      </c>
      <c r="J203" s="90">
        <f>IF(J156="Trained",2+'Dés de vie'!J$13)+IF(J156="Expert",4+'Dés de vie'!J$13)+IF(J156="Master",6+'Dés de vie'!J$13)+IF(J156="Legendary",8+'Dés de vie'!J$13)</f>
        <v>0</v>
      </c>
    </row>
    <row r="204" spans="1:10" ht="15.75" hidden="1" customHeight="1" outlineLevel="1" x14ac:dyDescent="0.25">
      <c r="A204" s="39" t="s">
        <v>76</v>
      </c>
      <c r="B204" s="201">
        <f>IF(B158="Trained",2+'Dés de vie'!B$13)+IF(B158="Expert",4+'Dés de vie'!B$13)+IF(B158="Master",6+'Dés de vie'!B$13)+IF(B158="Legendary",8+'Dés de vie'!B$13)</f>
        <v>0</v>
      </c>
      <c r="C204" s="26">
        <f>IF(C158="Trained",2+'Dés de vie'!C$13)+IF(C158="Expert",4+'Dés de vie'!C$13)+IF(C158="Master",6+'Dés de vie'!C$13)+IF(C158="Legendary",8+'Dés de vie'!C$13)</f>
        <v>0</v>
      </c>
      <c r="D204" s="26">
        <f>IF(D158="Trained",2+'Dés de vie'!D$13)+IF(D158="Expert",4+'Dés de vie'!D$13)+IF(D158="Master",6+'Dés de vie'!D$13)+IF(D158="Legendary",8+'Dés de vie'!D$13)</f>
        <v>0</v>
      </c>
      <c r="E204" s="26">
        <f>IF(E158="Trained",2+'Dés de vie'!E$13)+IF(E158="Expert",4+'Dés de vie'!E$13)+IF(E158="Master",6+'Dés de vie'!E$13)+IF(E158="Legendary",8+'Dés de vie'!E$13)</f>
        <v>0</v>
      </c>
      <c r="F204" s="26">
        <f>IF(F158="Trained",2+'Dés de vie'!F$13)+IF(F158="Expert",4+'Dés de vie'!F$13)+IF(F158="Master",6+'Dés de vie'!F$13)+IF(F158="Legendary",8+'Dés de vie'!F$13)</f>
        <v>0</v>
      </c>
      <c r="G204" s="26">
        <f>IF(G158="Trained",2+'Dés de vie'!G$13)+IF(G158="Expert",4+'Dés de vie'!G$13)+IF(G158="Master",6+'Dés de vie'!G$13)+IF(G158="Legendary",8+'Dés de vie'!G$13)</f>
        <v>0</v>
      </c>
      <c r="H204" s="26">
        <f>IF(H158="Trained",2+'Dés de vie'!H$13)+IF(H158="Expert",4+'Dés de vie'!H$13)+IF(H158="Master",6+'Dés de vie'!H$13)+IF(H158="Legendary",8+'Dés de vie'!H$13)</f>
        <v>7</v>
      </c>
      <c r="I204" s="26">
        <f>IF(I158="Trained",2+'Dés de vie'!I$13)+IF(I158="Expert",4+'Dés de vie'!I$13)+IF(I158="Master",6+'Dés de vie'!I$13)+IF(I158="Legendary",8+'Dés de vie'!I$13)</f>
        <v>0</v>
      </c>
      <c r="J204" s="90">
        <f>IF(J158="Trained",2+'Dés de vie'!J$13)+IF(J158="Expert",4+'Dés de vie'!J$13)+IF(J158="Master",6+'Dés de vie'!J$13)+IF(J158="Legendary",8+'Dés de vie'!J$13)</f>
        <v>0</v>
      </c>
    </row>
    <row r="205" spans="1:10" ht="15.75" hidden="1" customHeight="1" outlineLevel="1" thickBot="1" x14ac:dyDescent="0.3">
      <c r="A205" s="40" t="s">
        <v>77</v>
      </c>
      <c r="B205" s="202">
        <f>IF(B160="Trained",2+'Dés de vie'!B$13)+IF(B160="Expert",4+'Dés de vie'!B$13)+IF(B160="Master",6+'Dés de vie'!B$13)+IF(B160="Legendary",8+'Dés de vie'!B$13)</f>
        <v>7</v>
      </c>
      <c r="C205" s="92">
        <f>IF(C160="Trained",2+'Dés de vie'!C$13)+IF(C160="Expert",4+'Dés de vie'!C$13)+IF(C160="Master",6+'Dés de vie'!C$13)+IF(C160="Legendary",8+'Dés de vie'!C$13)</f>
        <v>7</v>
      </c>
      <c r="D205" s="92">
        <f>IF(D160="Trained",2+'Dés de vie'!D$13)+IF(D160="Expert",4+'Dés de vie'!D$13)+IF(D160="Master",6+'Dés de vie'!D$13)+IF(D160="Legendary",8+'Dés de vie'!D$13)</f>
        <v>7</v>
      </c>
      <c r="E205" s="92">
        <f>IF(E160="Trained",2+'Dés de vie'!E$13)+IF(E160="Expert",4+'Dés de vie'!E$13)+IF(E160="Master",6+'Dés de vie'!E$13)+IF(E160="Legendary",8+'Dés de vie'!E$13)</f>
        <v>7</v>
      </c>
      <c r="F205" s="92">
        <f>IF(F160="Trained",2+'Dés de vie'!F$13)+IF(F160="Expert",4+'Dés de vie'!F$13)+IF(F160="Master",6+'Dés de vie'!F$13)+IF(F160="Legendary",8+'Dés de vie'!F$13)</f>
        <v>7</v>
      </c>
      <c r="G205" s="92">
        <f>IF(G160="Trained",2+'Dés de vie'!G$13)+IF(G160="Expert",4+'Dés de vie'!G$13)+IF(G160="Master",6+'Dés de vie'!G$13)+IF(G160="Legendary",8+'Dés de vie'!G$13)</f>
        <v>7</v>
      </c>
      <c r="H205" s="92">
        <f>IF(H160="Trained",2+'Dés de vie'!H$13)+IF(H160="Expert",4+'Dés de vie'!H$13)+IF(H160="Master",6+'Dés de vie'!H$13)+IF(H160="Legendary",8+'Dés de vie'!H$13)</f>
        <v>7</v>
      </c>
      <c r="I205" s="92">
        <f>IF(I160="Trained",2+'Dés de vie'!I$13)+IF(I160="Expert",4+'Dés de vie'!I$13)+IF(I160="Master",6+'Dés de vie'!I$13)+IF(I160="Legendary",8+'Dés de vie'!I$13)</f>
        <v>7</v>
      </c>
      <c r="J205" s="93">
        <f>IF(J160="Trained",2+'Dés de vie'!J$13)+IF(J160="Expert",4+'Dés de vie'!J$13)+IF(J160="Master",6+'Dés de vie'!J$13)+IF(J160="Legendary",8+'Dés de vie'!J$13)</f>
        <v>7</v>
      </c>
    </row>
    <row r="206" spans="1:10" ht="15.75" hidden="1" customHeight="1" outlineLevel="1" x14ac:dyDescent="0.25">
      <c r="A206" s="153" t="s">
        <v>84</v>
      </c>
      <c r="B206" s="200">
        <f>IF(B164="Trained",2+'Dés de vie'!B$13)+IF(B164="Expert",4+'Dés de vie'!B$13)+IF(B164="Master",6+'Dés de vie'!B$13)+IF(B164="Legendary",8+'Dés de vie'!B$13)</f>
        <v>0</v>
      </c>
      <c r="C206" s="22">
        <f>IF(C163="Trained",2+'Dés de vie'!C$13)+IF(C163="Expert",4+'Dés de vie'!C$13)+IF(C163="Master",6+'Dés de vie'!C$13)+IF(C163="Legendary",8+'Dés de vie'!C$13)</f>
        <v>0</v>
      </c>
      <c r="D206" s="22">
        <f>IF(D163="Trained",2+'Dés de vie'!D$13)+IF(D163="Expert",4+'Dés de vie'!D$13)+IF(D163="Master",6+'Dés de vie'!D$13)+IF(D163="Legendary",8+'Dés de vie'!D$13)</f>
        <v>0</v>
      </c>
      <c r="E206" s="22">
        <f>IF(E163="Trained",2+'Dés de vie'!E$13)+IF(E163="Expert",4+'Dés de vie'!E$13)+IF(E163="Master",6+'Dés de vie'!E$13)+IF(E163="Legendary",8+'Dés de vie'!E$13)</f>
        <v>7</v>
      </c>
      <c r="F206" s="22">
        <f>IF(F163="Trained",2+'Dés de vie'!F$13)+IF(F163="Expert",4+'Dés de vie'!F$13)+IF(F163="Master",6+'Dés de vie'!F$13)+IF(F163="Legendary",8+'Dés de vie'!F$13)</f>
        <v>0</v>
      </c>
      <c r="G206" s="22">
        <f>IF(G163="Trained",2+'Dés de vie'!G$13)+IF(G163="Expert",4+'Dés de vie'!G$13)+IF(G163="Master",6+'Dés de vie'!G$13)+IF(G163="Legendary",8+'Dés de vie'!G$13)</f>
        <v>7</v>
      </c>
      <c r="H206" s="22">
        <f>IF(H163="Trained",2+'Dés de vie'!H$13)+IF(H163="Expert",4+'Dés de vie'!H$13)+IF(H163="Master",6+'Dés de vie'!H$13)+IF(H163="Legendary",8+'Dés de vie'!H$13)</f>
        <v>7</v>
      </c>
      <c r="I206" s="22">
        <f>IF(I163="Trained",2+'Dés de vie'!I$13)+IF(I163="Expert",4+'Dés de vie'!I$13)+IF(I163="Master",6+'Dés de vie'!I$13)+IF(I163="Legendary",8+'Dés de vie'!I$13)</f>
        <v>7</v>
      </c>
      <c r="J206" s="23">
        <f>IF(J163="Trained",2+'Dés de vie'!J$13)+IF(J163="Expert",4+'Dés de vie'!J$13)+IF(J163="Master",6+'Dés de vie'!J$13)+IF(J163="Legendary",8+'Dés de vie'!J$13)</f>
        <v>0</v>
      </c>
    </row>
    <row r="207" spans="1:10" ht="15.75" hidden="1" customHeight="1" outlineLevel="1" x14ac:dyDescent="0.25">
      <c r="A207" s="39" t="s">
        <v>70</v>
      </c>
      <c r="B207" s="201">
        <f>IF(B165="Trained",2+'Dés de vie'!B$13)+IF(B165="Expert",4+'Dés de vie'!B$13)+IF(B165="Master",6+'Dés de vie'!B$13)+IF(B165="Legendary",8+'Dés de vie'!B$13)</f>
        <v>7</v>
      </c>
      <c r="C207" s="26">
        <f>IF(C165="Trained",2+'Dés de vie'!C$13)+IF(C165="Expert",4+'Dés de vie'!C$13)+IF(C165="Master",6+'Dés de vie'!C$13)+IF(C165="Legendary",8+'Dés de vie'!C$13)</f>
        <v>7</v>
      </c>
      <c r="D207" s="26">
        <f>IF(D165="Trained",2+'Dés de vie'!D$13)+IF(D165="Expert",4+'Dés de vie'!D$13)+IF(D165="Master",6+'Dés de vie'!D$13)+IF(D165="Legendary",8+'Dés de vie'!D$13)</f>
        <v>7</v>
      </c>
      <c r="E207" s="26"/>
      <c r="F207" s="26">
        <f>IF(F165="Trained",2+'Dés de vie'!F$13)+IF(F165="Expert",4+'Dés de vie'!F$13)+IF(F165="Master",6+'Dés de vie'!F$13)+IF(F165="Legendary",8+'Dés de vie'!F$13)</f>
        <v>7</v>
      </c>
      <c r="G207" s="26">
        <f>IF(G165="Trained",2+'Dés de vie'!G$13)+IF(G165="Expert",4+'Dés de vie'!G$13)+IF(G165="Master",6+'Dés de vie'!G$13)+IF(G165="Legendary",8+'Dés de vie'!G$13)</f>
        <v>7</v>
      </c>
      <c r="H207" s="26"/>
      <c r="I207" s="26"/>
      <c r="J207" s="90"/>
    </row>
    <row r="208" spans="1:10" ht="15.75" hidden="1" customHeight="1" outlineLevel="1" thickBot="1" x14ac:dyDescent="0.3">
      <c r="A208" s="40" t="s">
        <v>71</v>
      </c>
      <c r="B208" s="202">
        <f>IF(B167="Trained",2+'Dés de vie'!B$13)+IF(B167="Expert",4+'Dés de vie'!B$13)+IF(B167="Master",6+'Dés de vie'!B$13)+IF(B167="Legendary",8+'Dés de vie'!B$13)</f>
        <v>7</v>
      </c>
      <c r="C208" s="92">
        <f>IF(C167="Trained",2+'Dés de vie'!C$13)+IF(C167="Expert",4+'Dés de vie'!C$13)+IF(C167="Master",6+'Dés de vie'!C$13)+IF(C167="Legendary",8+'Dés de vie'!C$13)</f>
        <v>7</v>
      </c>
      <c r="D208" s="92">
        <f>IF(D167="Trained",2+'Dés de vie'!D$13)+IF(D167="Expert",4+'Dés de vie'!D$13)+IF(D167="Master",6+'Dés de vie'!D$13)+IF(D167="Legendary",8+'Dés de vie'!D$13)</f>
        <v>7</v>
      </c>
      <c r="E208" s="92"/>
      <c r="F208" s="92">
        <f>IF(F167="Trained",2+'Dés de vie'!F$13)+IF(F167="Expert",4+'Dés de vie'!F$13)+IF(F167="Master",6+'Dés de vie'!F$13)+IF(F167="Legendary",8+'Dés de vie'!F$13)</f>
        <v>7</v>
      </c>
      <c r="G208" s="92">
        <f>IF(G167="Trained",2+'Dés de vie'!G$13)+IF(G167="Expert",4+'Dés de vie'!G$13)+IF(G167="Master",6+'Dés de vie'!G$13)+IF(G167="Legendary",8+'Dés de vie'!G$13)</f>
        <v>7</v>
      </c>
      <c r="H208" s="92"/>
      <c r="I208" s="92"/>
      <c r="J208" s="93"/>
    </row>
    <row r="209" spans="1:10" ht="15.75" hidden="1" customHeight="1" outlineLevel="1" thickBot="1" x14ac:dyDescent="0.3">
      <c r="A209" s="34"/>
    </row>
    <row r="210" spans="1:10" ht="15.75" hidden="1" customHeight="1" outlineLevel="1" thickBot="1" x14ac:dyDescent="0.3">
      <c r="A210" s="210" t="s">
        <v>27</v>
      </c>
      <c r="B210" s="211"/>
      <c r="C210" s="211"/>
      <c r="D210" s="211"/>
      <c r="E210" s="211"/>
      <c r="F210" s="211"/>
      <c r="G210" s="211"/>
      <c r="H210" s="211"/>
      <c r="I210" s="211"/>
      <c r="J210" s="135"/>
    </row>
    <row r="211" spans="1:10" ht="15.75" hidden="1" customHeight="1" outlineLevel="1" x14ac:dyDescent="0.25">
      <c r="A211" s="58" t="s">
        <v>22</v>
      </c>
      <c r="B211" s="21"/>
      <c r="C211" s="22"/>
      <c r="D211" s="22"/>
      <c r="E211" s="22"/>
      <c r="F211" s="22"/>
      <c r="G211" s="22"/>
      <c r="H211" s="22"/>
      <c r="I211" s="22"/>
      <c r="J211" s="23"/>
    </row>
    <row r="212" spans="1:10" ht="15.75" hidden="1" customHeight="1" outlineLevel="1" x14ac:dyDescent="0.25">
      <c r="A212" s="59" t="s">
        <v>64</v>
      </c>
      <c r="B212" s="89"/>
      <c r="C212" s="26"/>
      <c r="D212" s="26"/>
      <c r="E212" s="26"/>
      <c r="F212" s="26"/>
      <c r="G212" s="26"/>
      <c r="H212" s="26"/>
      <c r="I212" s="26"/>
      <c r="J212" s="90"/>
    </row>
    <row r="213" spans="1:10" ht="15.75" hidden="1" customHeight="1" outlineLevel="1" x14ac:dyDescent="0.25">
      <c r="A213" s="59" t="s">
        <v>65</v>
      </c>
      <c r="B213" s="89"/>
      <c r="C213" s="26"/>
      <c r="D213" s="26"/>
      <c r="E213" s="26"/>
      <c r="F213" s="26"/>
      <c r="G213" s="26"/>
      <c r="H213" s="26"/>
      <c r="I213" s="26"/>
      <c r="J213" s="90"/>
    </row>
    <row r="214" spans="1:10" ht="15.75" hidden="1" customHeight="1" outlineLevel="1" thickBot="1" x14ac:dyDescent="0.3">
      <c r="A214" s="60" t="s">
        <v>66</v>
      </c>
      <c r="B214" s="91"/>
      <c r="C214" s="92"/>
      <c r="D214" s="92"/>
      <c r="E214" s="92"/>
      <c r="F214" s="92"/>
      <c r="G214" s="92"/>
      <c r="H214" s="92"/>
      <c r="I214" s="92"/>
      <c r="J214" s="93"/>
    </row>
    <row r="215" spans="1:10" ht="15.75" hidden="1" customHeight="1" outlineLevel="1" x14ac:dyDescent="0.25">
      <c r="A215" s="58" t="s">
        <v>20</v>
      </c>
      <c r="B215" s="21"/>
      <c r="C215" s="22"/>
      <c r="D215" s="22"/>
      <c r="E215" s="22"/>
      <c r="F215" s="22"/>
      <c r="G215" s="22"/>
      <c r="H215" s="22"/>
      <c r="I215" s="22"/>
      <c r="J215" s="23"/>
    </row>
    <row r="216" spans="1:10" ht="15.75" hidden="1" customHeight="1" outlineLevel="1" x14ac:dyDescent="0.25">
      <c r="A216" s="94" t="s">
        <v>51</v>
      </c>
      <c r="B216" s="89"/>
      <c r="C216" s="26"/>
      <c r="D216" s="26"/>
      <c r="E216" s="26"/>
      <c r="F216" s="26"/>
      <c r="G216" s="26"/>
      <c r="H216" s="26"/>
      <c r="I216" s="26"/>
      <c r="J216" s="90"/>
    </row>
    <row r="217" spans="1:10" ht="15.75" hidden="1" customHeight="1" outlineLevel="1" x14ac:dyDescent="0.25">
      <c r="A217" s="94" t="s">
        <v>52</v>
      </c>
      <c r="B217" s="89"/>
      <c r="C217" s="26"/>
      <c r="D217" s="26"/>
      <c r="E217" s="26"/>
      <c r="F217" s="26"/>
      <c r="G217" s="26"/>
      <c r="H217" s="26"/>
      <c r="I217" s="26"/>
      <c r="J217" s="90"/>
    </row>
    <row r="218" spans="1:10" ht="15.75" hidden="1" customHeight="1" outlineLevel="1" x14ac:dyDescent="0.25">
      <c r="A218" s="94" t="s">
        <v>53</v>
      </c>
      <c r="B218" s="89"/>
      <c r="C218" s="26"/>
      <c r="D218" s="26"/>
      <c r="E218" s="26"/>
      <c r="F218" s="26"/>
      <c r="G218" s="26"/>
      <c r="H218" s="26"/>
      <c r="I218" s="26"/>
      <c r="J218" s="90"/>
    </row>
    <row r="219" spans="1:10" ht="15.75" hidden="1" customHeight="1" outlineLevel="1" x14ac:dyDescent="0.25">
      <c r="A219" s="94" t="s">
        <v>54</v>
      </c>
      <c r="B219" s="89"/>
      <c r="C219" s="26"/>
      <c r="D219" s="26"/>
      <c r="E219" s="26"/>
      <c r="F219" s="26"/>
      <c r="G219" s="26"/>
      <c r="H219" s="26"/>
      <c r="I219" s="26"/>
      <c r="J219" s="90"/>
    </row>
    <row r="220" spans="1:10" ht="15.75" hidden="1" customHeight="1" outlineLevel="1" x14ac:dyDescent="0.25">
      <c r="A220" s="59" t="s">
        <v>21</v>
      </c>
      <c r="B220" s="89"/>
      <c r="C220" s="26"/>
      <c r="D220" s="26"/>
      <c r="E220" s="26"/>
      <c r="F220" s="26"/>
      <c r="G220" s="26"/>
      <c r="H220" s="26"/>
      <c r="I220" s="26"/>
      <c r="J220" s="90"/>
    </row>
    <row r="221" spans="1:10" ht="15.75" hidden="1" customHeight="1" outlineLevel="1" x14ac:dyDescent="0.25">
      <c r="A221" s="94" t="s">
        <v>55</v>
      </c>
      <c r="B221" s="89"/>
      <c r="C221" s="26"/>
      <c r="D221" s="26"/>
      <c r="E221" s="26"/>
      <c r="F221" s="26"/>
      <c r="G221" s="26"/>
      <c r="H221" s="26"/>
      <c r="I221" s="26"/>
      <c r="J221" s="90"/>
    </row>
    <row r="222" spans="1:10" ht="15.75" hidden="1" customHeight="1" outlineLevel="1" x14ac:dyDescent="0.25">
      <c r="A222" s="94" t="s">
        <v>56</v>
      </c>
      <c r="B222" s="89"/>
      <c r="C222" s="26"/>
      <c r="D222" s="26"/>
      <c r="E222" s="26"/>
      <c r="F222" s="26"/>
      <c r="G222" s="26"/>
      <c r="H222" s="26"/>
      <c r="I222" s="26"/>
      <c r="J222" s="90"/>
    </row>
    <row r="223" spans="1:10" ht="15.75" hidden="1" customHeight="1" outlineLevel="1" x14ac:dyDescent="0.25">
      <c r="A223" s="94" t="s">
        <v>67</v>
      </c>
      <c r="B223" s="89"/>
      <c r="C223" s="26"/>
      <c r="D223" s="26"/>
      <c r="E223" s="26"/>
      <c r="F223" s="26"/>
      <c r="G223" s="26"/>
      <c r="H223" s="26"/>
      <c r="I223" s="26"/>
      <c r="J223" s="90"/>
    </row>
    <row r="224" spans="1:10" ht="15.75" hidden="1" customHeight="1" outlineLevel="1" x14ac:dyDescent="0.25">
      <c r="A224" s="94" t="s">
        <v>68</v>
      </c>
      <c r="B224" s="89"/>
      <c r="C224" s="26"/>
      <c r="D224" s="26"/>
      <c r="E224" s="26"/>
      <c r="F224" s="26"/>
      <c r="G224" s="26"/>
      <c r="H224" s="26"/>
      <c r="I224" s="26"/>
      <c r="J224" s="90"/>
    </row>
    <row r="225" spans="1:10" ht="15.75" hidden="1" customHeight="1" outlineLevel="1" x14ac:dyDescent="0.25">
      <c r="A225" s="94" t="s">
        <v>69</v>
      </c>
      <c r="B225" s="89"/>
      <c r="C225" s="26"/>
      <c r="D225" s="26"/>
      <c r="E225" s="26"/>
      <c r="F225" s="26"/>
      <c r="G225" s="26"/>
      <c r="H225" s="26"/>
      <c r="I225" s="26"/>
      <c r="J225" s="90"/>
    </row>
    <row r="226" spans="1:10" ht="15.75" hidden="1" customHeight="1" outlineLevel="1" x14ac:dyDescent="0.25">
      <c r="A226" s="94" t="s">
        <v>57</v>
      </c>
      <c r="B226" s="89"/>
      <c r="C226" s="26"/>
      <c r="D226" s="26"/>
      <c r="E226" s="26"/>
      <c r="F226" s="26"/>
      <c r="G226" s="26"/>
      <c r="H226" s="26"/>
      <c r="I226" s="26"/>
      <c r="J226" s="90"/>
    </row>
    <row r="227" spans="1:10" ht="15.75" hidden="1" customHeight="1" outlineLevel="1" x14ac:dyDescent="0.25">
      <c r="A227" s="94" t="s">
        <v>58</v>
      </c>
      <c r="B227" s="89"/>
      <c r="C227" s="26"/>
      <c r="D227" s="26"/>
      <c r="E227" s="26"/>
      <c r="F227" s="26"/>
      <c r="G227" s="26"/>
      <c r="H227" s="26"/>
      <c r="I227" s="26"/>
      <c r="J227" s="90"/>
    </row>
    <row r="228" spans="1:10" ht="15.75" hidden="1" customHeight="1" outlineLevel="1" x14ac:dyDescent="0.25">
      <c r="A228" s="94" t="s">
        <v>59</v>
      </c>
      <c r="B228" s="89"/>
      <c r="C228" s="26"/>
      <c r="D228" s="26"/>
      <c r="E228" s="26"/>
      <c r="F228" s="26"/>
      <c r="G228" s="26"/>
      <c r="H228" s="26"/>
      <c r="I228" s="26"/>
      <c r="J228" s="90"/>
    </row>
    <row r="229" spans="1:10" ht="15.75" hidden="1" customHeight="1" outlineLevel="1" x14ac:dyDescent="0.25">
      <c r="A229" s="94" t="s">
        <v>60</v>
      </c>
      <c r="B229" s="89"/>
      <c r="C229" s="26"/>
      <c r="D229" s="26"/>
      <c r="E229" s="26"/>
      <c r="F229" s="26"/>
      <c r="G229" s="26"/>
      <c r="H229" s="26"/>
      <c r="I229" s="26"/>
      <c r="J229" s="90"/>
    </row>
    <row r="230" spans="1:10" ht="15.75" hidden="1" customHeight="1" outlineLevel="1" x14ac:dyDescent="0.25">
      <c r="A230" s="94" t="s">
        <v>61</v>
      </c>
      <c r="B230" s="89"/>
      <c r="C230" s="26"/>
      <c r="D230" s="26"/>
      <c r="E230" s="26"/>
      <c r="F230" s="26"/>
      <c r="G230" s="26"/>
      <c r="H230" s="26"/>
      <c r="I230" s="26"/>
      <c r="J230" s="90"/>
    </row>
    <row r="231" spans="1:10" ht="15.75" hidden="1" customHeight="1" outlineLevel="1" x14ac:dyDescent="0.25">
      <c r="A231" s="94" t="s">
        <v>62</v>
      </c>
      <c r="B231" s="89"/>
      <c r="C231" s="26"/>
      <c r="D231" s="26"/>
      <c r="E231" s="26"/>
      <c r="F231" s="26"/>
      <c r="G231" s="26"/>
      <c r="H231" s="26"/>
      <c r="I231" s="26"/>
      <c r="J231" s="90"/>
    </row>
    <row r="232" spans="1:10" ht="15.75" hidden="1" customHeight="1" outlineLevel="1" x14ac:dyDescent="0.25">
      <c r="A232" s="59" t="s">
        <v>23</v>
      </c>
      <c r="B232" s="89"/>
      <c r="C232" s="26"/>
      <c r="D232" s="26"/>
      <c r="E232" s="26"/>
      <c r="F232" s="26"/>
      <c r="G232" s="26"/>
      <c r="H232" s="26"/>
      <c r="I232" s="26"/>
      <c r="J232" s="90"/>
    </row>
    <row r="233" spans="1:10" ht="15.75" hidden="1" customHeight="1" outlineLevel="1" x14ac:dyDescent="0.25">
      <c r="A233" s="59" t="s">
        <v>24</v>
      </c>
      <c r="B233" s="89"/>
      <c r="C233" s="26"/>
      <c r="D233" s="26"/>
      <c r="E233" s="26"/>
      <c r="F233" s="26"/>
      <c r="G233" s="26"/>
      <c r="H233" s="26"/>
      <c r="I233" s="26"/>
      <c r="J233" s="90"/>
    </row>
    <row r="234" spans="1:10" ht="15.75" hidden="1" customHeight="1" outlineLevel="1" x14ac:dyDescent="0.25">
      <c r="A234" s="94" t="s">
        <v>63</v>
      </c>
      <c r="B234" s="89"/>
      <c r="C234" s="26"/>
      <c r="D234" s="26"/>
      <c r="E234" s="26"/>
      <c r="F234" s="26"/>
      <c r="G234" s="26"/>
      <c r="H234" s="26"/>
      <c r="I234" s="26"/>
      <c r="J234" s="90"/>
    </row>
    <row r="235" spans="1:10" ht="15.75" hidden="1" customHeight="1" outlineLevel="1" x14ac:dyDescent="0.25">
      <c r="A235" s="59" t="s">
        <v>75</v>
      </c>
      <c r="B235" s="89"/>
      <c r="C235" s="26"/>
      <c r="D235" s="26"/>
      <c r="E235" s="26"/>
      <c r="F235" s="26"/>
      <c r="G235" s="26"/>
      <c r="H235" s="26"/>
      <c r="I235" s="26"/>
      <c r="J235" s="90"/>
    </row>
    <row r="236" spans="1:10" ht="15.75" hidden="1" customHeight="1" outlineLevel="1" x14ac:dyDescent="0.25">
      <c r="A236" s="59" t="s">
        <v>78</v>
      </c>
      <c r="B236" s="89"/>
      <c r="C236" s="26"/>
      <c r="D236" s="26"/>
      <c r="E236" s="26"/>
      <c r="F236" s="26"/>
      <c r="G236" s="26"/>
      <c r="H236" s="26"/>
      <c r="I236" s="26"/>
      <c r="J236" s="90"/>
    </row>
    <row r="237" spans="1:10" ht="15.75" hidden="1" customHeight="1" outlineLevel="1" x14ac:dyDescent="0.25">
      <c r="A237" s="59" t="s">
        <v>76</v>
      </c>
      <c r="B237" s="89"/>
      <c r="C237" s="26"/>
      <c r="D237" s="26"/>
      <c r="E237" s="26"/>
      <c r="F237" s="26"/>
      <c r="G237" s="26"/>
      <c r="H237" s="26"/>
      <c r="I237" s="26"/>
      <c r="J237" s="90"/>
    </row>
    <row r="238" spans="1:10" ht="15.75" hidden="1" customHeight="1" outlineLevel="1" x14ac:dyDescent="0.25">
      <c r="A238" s="59" t="s">
        <v>77</v>
      </c>
      <c r="B238" s="89"/>
      <c r="C238" s="26"/>
      <c r="D238" s="26"/>
      <c r="E238" s="26"/>
      <c r="F238" s="26"/>
      <c r="G238" s="26"/>
      <c r="H238" s="26"/>
      <c r="I238" s="26"/>
      <c r="J238" s="90"/>
    </row>
    <row r="239" spans="1:10" ht="15.75" hidden="1" customHeight="1" outlineLevel="1" x14ac:dyDescent="0.25">
      <c r="A239" s="209" t="s">
        <v>84</v>
      </c>
      <c r="B239" s="89"/>
      <c r="C239" s="26"/>
      <c r="D239" s="26"/>
      <c r="E239" s="26"/>
      <c r="F239" s="26"/>
      <c r="G239" s="26"/>
      <c r="H239" s="26"/>
      <c r="I239" s="26"/>
      <c r="J239" s="90"/>
    </row>
    <row r="240" spans="1:10" ht="15.75" hidden="1" customHeight="1" outlineLevel="1" x14ac:dyDescent="0.25">
      <c r="A240" s="59" t="s">
        <v>70</v>
      </c>
      <c r="B240" s="89"/>
      <c r="C240" s="26"/>
      <c r="D240" s="26"/>
      <c r="E240" s="26"/>
      <c r="F240" s="26"/>
      <c r="G240" s="26"/>
      <c r="H240" s="26"/>
      <c r="I240" s="26"/>
      <c r="J240" s="90"/>
    </row>
    <row r="241" spans="1:10" ht="15.75" hidden="1" customHeight="1" outlineLevel="1" thickBot="1" x14ac:dyDescent="0.3">
      <c r="A241" s="60" t="s">
        <v>71</v>
      </c>
      <c r="B241" s="91"/>
      <c r="C241" s="92"/>
      <c r="D241" s="92"/>
      <c r="E241" s="92"/>
      <c r="F241" s="92"/>
      <c r="G241" s="92"/>
      <c r="H241" s="92"/>
      <c r="I241" s="92"/>
      <c r="J241" s="93"/>
    </row>
    <row r="242" spans="1:10" ht="15.75" hidden="1" customHeight="1" outlineLevel="1" thickBot="1" x14ac:dyDescent="0.3">
      <c r="A242" s="34"/>
    </row>
    <row r="243" spans="1:10" ht="15.75" hidden="1" customHeight="1" outlineLevel="1" thickBot="1" x14ac:dyDescent="0.3">
      <c r="A243" s="212" t="s">
        <v>80</v>
      </c>
      <c r="B243" s="211"/>
      <c r="C243" s="211"/>
      <c r="D243" s="211"/>
      <c r="E243" s="211"/>
      <c r="F243" s="211"/>
      <c r="G243" s="211"/>
      <c r="H243" s="211"/>
      <c r="I243" s="211"/>
      <c r="J243" s="135"/>
    </row>
    <row r="244" spans="1:10" ht="15.75" hidden="1" customHeight="1" outlineLevel="1" x14ac:dyDescent="0.25">
      <c r="A244" s="58" t="s">
        <v>22</v>
      </c>
      <c r="B244" s="21"/>
      <c r="C244" s="22"/>
      <c r="D244" s="22"/>
      <c r="E244" s="22"/>
      <c r="F244" s="22"/>
      <c r="G244" s="22"/>
      <c r="H244" s="22"/>
      <c r="I244" s="22"/>
      <c r="J244" s="23"/>
    </row>
    <row r="245" spans="1:10" ht="15.75" hidden="1" customHeight="1" outlineLevel="1" x14ac:dyDescent="0.25">
      <c r="A245" s="59" t="s">
        <v>64</v>
      </c>
      <c r="B245" s="89"/>
      <c r="C245" s="26"/>
      <c r="D245" s="26"/>
      <c r="E245" s="26"/>
      <c r="F245" s="26"/>
      <c r="G245" s="26"/>
      <c r="H245" s="26"/>
      <c r="I245" s="26"/>
      <c r="J245" s="90"/>
    </row>
    <row r="246" spans="1:10" ht="15.75" hidden="1" customHeight="1" outlineLevel="1" x14ac:dyDescent="0.25">
      <c r="A246" s="59" t="s">
        <v>65</v>
      </c>
      <c r="B246" s="89"/>
      <c r="C246" s="26"/>
      <c r="D246" s="26"/>
      <c r="E246" s="26"/>
      <c r="F246" s="26"/>
      <c r="G246" s="26"/>
      <c r="H246" s="26"/>
      <c r="I246" s="26"/>
      <c r="J246" s="90"/>
    </row>
    <row r="247" spans="1:10" ht="15.75" hidden="1" customHeight="1" outlineLevel="1" thickBot="1" x14ac:dyDescent="0.3">
      <c r="A247" s="60" t="s">
        <v>66</v>
      </c>
      <c r="B247" s="91"/>
      <c r="C247" s="92"/>
      <c r="D247" s="92"/>
      <c r="E247" s="92"/>
      <c r="F247" s="92"/>
      <c r="G247" s="92"/>
      <c r="H247" s="92"/>
      <c r="I247" s="92"/>
      <c r="J247" s="93"/>
    </row>
    <row r="248" spans="1:10" ht="15.75" hidden="1" customHeight="1" outlineLevel="1" x14ac:dyDescent="0.25">
      <c r="A248" s="58" t="s">
        <v>20</v>
      </c>
      <c r="B248" s="21"/>
      <c r="C248" s="22"/>
      <c r="D248" s="22"/>
      <c r="E248" s="22"/>
      <c r="F248" s="22"/>
      <c r="G248" s="22"/>
      <c r="H248" s="22"/>
      <c r="I248" s="22"/>
      <c r="J248" s="23"/>
    </row>
    <row r="249" spans="1:10" ht="15.75" hidden="1" customHeight="1" outlineLevel="1" x14ac:dyDescent="0.25">
      <c r="A249" s="94" t="s">
        <v>51</v>
      </c>
      <c r="B249" s="89"/>
      <c r="C249" s="26"/>
      <c r="D249" s="26"/>
      <c r="E249" s="26"/>
      <c r="F249" s="26"/>
      <c r="G249" s="26"/>
      <c r="H249" s="26"/>
      <c r="I249" s="26"/>
      <c r="J249" s="90"/>
    </row>
    <row r="250" spans="1:10" ht="15.75" hidden="1" customHeight="1" outlineLevel="1" x14ac:dyDescent="0.25">
      <c r="A250" s="94" t="s">
        <v>52</v>
      </c>
      <c r="B250" s="89"/>
      <c r="C250" s="26"/>
      <c r="D250" s="26"/>
      <c r="E250" s="26"/>
      <c r="F250" s="26"/>
      <c r="G250" s="26"/>
      <c r="H250" s="26"/>
      <c r="I250" s="26"/>
      <c r="J250" s="90"/>
    </row>
    <row r="251" spans="1:10" ht="15.75" hidden="1" customHeight="1" outlineLevel="1" x14ac:dyDescent="0.25">
      <c r="A251" s="94" t="s">
        <v>53</v>
      </c>
      <c r="B251" s="89"/>
      <c r="C251" s="26"/>
      <c r="D251" s="26"/>
      <c r="E251" s="26"/>
      <c r="F251" s="26"/>
      <c r="G251" s="26"/>
      <c r="H251" s="26"/>
      <c r="I251" s="26"/>
      <c r="J251" s="90"/>
    </row>
    <row r="252" spans="1:10" ht="15.75" hidden="1" customHeight="1" outlineLevel="1" x14ac:dyDescent="0.25">
      <c r="A252" s="94" t="s">
        <v>54</v>
      </c>
      <c r="B252" s="89"/>
      <c r="C252" s="26"/>
      <c r="D252" s="26"/>
      <c r="E252" s="26"/>
      <c r="F252" s="26"/>
      <c r="G252" s="26"/>
      <c r="H252" s="26"/>
      <c r="I252" s="26"/>
      <c r="J252" s="90"/>
    </row>
    <row r="253" spans="1:10" ht="15.75" hidden="1" customHeight="1" outlineLevel="1" collapsed="1" x14ac:dyDescent="0.25">
      <c r="A253" s="59" t="s">
        <v>21</v>
      </c>
      <c r="B253" s="89"/>
      <c r="C253" s="26"/>
      <c r="D253" s="26"/>
      <c r="E253" s="26"/>
      <c r="F253" s="26"/>
      <c r="G253" s="26"/>
      <c r="H253" s="26"/>
      <c r="I253" s="26"/>
      <c r="J253" s="90"/>
    </row>
    <row r="254" spans="1:10" ht="15.75" hidden="1" customHeight="1" outlineLevel="1" x14ac:dyDescent="0.25">
      <c r="A254" s="94" t="s">
        <v>55</v>
      </c>
      <c r="B254" s="89"/>
      <c r="C254" s="26"/>
      <c r="D254" s="26"/>
      <c r="E254" s="26"/>
      <c r="F254" s="26"/>
      <c r="G254" s="26"/>
      <c r="H254" s="26"/>
      <c r="I254" s="26"/>
      <c r="J254" s="90"/>
    </row>
    <row r="255" spans="1:10" ht="15.75" hidden="1" customHeight="1" outlineLevel="1" x14ac:dyDescent="0.25">
      <c r="A255" s="94" t="s">
        <v>56</v>
      </c>
      <c r="B255" s="89"/>
      <c r="C255" s="26"/>
      <c r="D255" s="26"/>
      <c r="E255" s="26"/>
      <c r="F255" s="26"/>
      <c r="G255" s="26"/>
      <c r="H255" s="26"/>
      <c r="I255" s="26"/>
      <c r="J255" s="90"/>
    </row>
    <row r="256" spans="1:10" ht="15.75" hidden="1" customHeight="1" outlineLevel="1" x14ac:dyDescent="0.25">
      <c r="A256" s="94" t="s">
        <v>67</v>
      </c>
      <c r="B256" s="89"/>
      <c r="C256" s="26"/>
      <c r="D256" s="26"/>
      <c r="E256" s="26"/>
      <c r="F256" s="26"/>
      <c r="G256" s="26"/>
      <c r="H256" s="26"/>
      <c r="I256" s="26"/>
      <c r="J256" s="90"/>
    </row>
    <row r="257" spans="1:10" ht="15.75" hidden="1" customHeight="1" outlineLevel="1" x14ac:dyDescent="0.25">
      <c r="A257" s="94" t="s">
        <v>68</v>
      </c>
      <c r="B257" s="89"/>
      <c r="C257" s="26"/>
      <c r="D257" s="26"/>
      <c r="E257" s="26"/>
      <c r="F257" s="26"/>
      <c r="G257" s="26"/>
      <c r="H257" s="26"/>
      <c r="I257" s="26"/>
      <c r="J257" s="90"/>
    </row>
    <row r="258" spans="1:10" ht="15.75" hidden="1" customHeight="1" outlineLevel="1" x14ac:dyDescent="0.25">
      <c r="A258" s="94" t="s">
        <v>69</v>
      </c>
      <c r="B258" s="89"/>
      <c r="C258" s="26"/>
      <c r="D258" s="26"/>
      <c r="E258" s="26"/>
      <c r="F258" s="26"/>
      <c r="G258" s="26"/>
      <c r="H258" s="26"/>
      <c r="I258" s="26"/>
      <c r="J258" s="90"/>
    </row>
    <row r="259" spans="1:10" ht="15.75" hidden="1" customHeight="1" outlineLevel="1" x14ac:dyDescent="0.25">
      <c r="A259" s="94" t="s">
        <v>57</v>
      </c>
      <c r="B259" s="89"/>
      <c r="C259" s="26"/>
      <c r="D259" s="26"/>
      <c r="E259" s="26"/>
      <c r="F259" s="26"/>
      <c r="G259" s="26"/>
      <c r="H259" s="26"/>
      <c r="I259" s="26"/>
      <c r="J259" s="90"/>
    </row>
    <row r="260" spans="1:10" ht="15.75" hidden="1" customHeight="1" outlineLevel="1" x14ac:dyDescent="0.25">
      <c r="A260" s="94" t="s">
        <v>58</v>
      </c>
      <c r="B260" s="89"/>
      <c r="C260" s="26"/>
      <c r="D260" s="26"/>
      <c r="E260" s="26"/>
      <c r="F260" s="26"/>
      <c r="G260" s="26"/>
      <c r="H260" s="26"/>
      <c r="I260" s="26"/>
      <c r="J260" s="90"/>
    </row>
    <row r="261" spans="1:10" ht="15.75" hidden="1" customHeight="1" outlineLevel="1" x14ac:dyDescent="0.25">
      <c r="A261" s="94" t="s">
        <v>59</v>
      </c>
      <c r="B261" s="89"/>
      <c r="C261" s="26"/>
      <c r="D261" s="26"/>
      <c r="E261" s="26"/>
      <c r="F261" s="26"/>
      <c r="G261" s="26"/>
      <c r="H261" s="26"/>
      <c r="I261" s="26"/>
      <c r="J261" s="90"/>
    </row>
    <row r="262" spans="1:10" ht="15.75" hidden="1" customHeight="1" outlineLevel="1" x14ac:dyDescent="0.25">
      <c r="A262" s="94" t="s">
        <v>60</v>
      </c>
      <c r="B262" s="89"/>
      <c r="C262" s="26"/>
      <c r="D262" s="26"/>
      <c r="E262" s="26"/>
      <c r="F262" s="26"/>
      <c r="G262" s="26"/>
      <c r="H262" s="26"/>
      <c r="I262" s="26"/>
      <c r="J262" s="90"/>
    </row>
    <row r="263" spans="1:10" ht="15.75" hidden="1" customHeight="1" outlineLevel="1" x14ac:dyDescent="0.25">
      <c r="A263" s="94" t="s">
        <v>61</v>
      </c>
      <c r="B263" s="89"/>
      <c r="C263" s="26"/>
      <c r="D263" s="26"/>
      <c r="E263" s="26"/>
      <c r="F263" s="26"/>
      <c r="G263" s="26"/>
      <c r="H263" s="26"/>
      <c r="I263" s="26"/>
      <c r="J263" s="90"/>
    </row>
    <row r="264" spans="1:10" ht="15.75" hidden="1" customHeight="1" outlineLevel="1" x14ac:dyDescent="0.25">
      <c r="A264" s="94" t="s">
        <v>62</v>
      </c>
      <c r="B264" s="89"/>
      <c r="C264" s="26"/>
      <c r="D264" s="26"/>
      <c r="E264" s="26"/>
      <c r="F264" s="26"/>
      <c r="G264" s="26"/>
      <c r="H264" s="26"/>
      <c r="I264" s="26"/>
      <c r="J264" s="90"/>
    </row>
    <row r="265" spans="1:10" ht="15.75" hidden="1" customHeight="1" outlineLevel="1" x14ac:dyDescent="0.25">
      <c r="A265" s="59" t="s">
        <v>23</v>
      </c>
      <c r="B265" s="89"/>
      <c r="C265" s="26"/>
      <c r="D265" s="26"/>
      <c r="E265" s="26"/>
      <c r="F265" s="26"/>
      <c r="G265" s="26"/>
      <c r="H265" s="26"/>
      <c r="I265" s="26"/>
      <c r="J265" s="90"/>
    </row>
    <row r="266" spans="1:10" ht="15.75" hidden="1" customHeight="1" outlineLevel="1" x14ac:dyDescent="0.25">
      <c r="A266" s="59" t="s">
        <v>24</v>
      </c>
      <c r="B266" s="89"/>
      <c r="C266" s="26"/>
      <c r="D266" s="26"/>
      <c r="E266" s="26"/>
      <c r="F266" s="26"/>
      <c r="G266" s="26"/>
      <c r="H266" s="26"/>
      <c r="I266" s="26"/>
      <c r="J266" s="90"/>
    </row>
    <row r="267" spans="1:10" ht="15.75" hidden="1" customHeight="1" outlineLevel="1" x14ac:dyDescent="0.25">
      <c r="A267" s="94" t="s">
        <v>63</v>
      </c>
      <c r="B267" s="89"/>
      <c r="C267" s="26"/>
      <c r="D267" s="26"/>
      <c r="E267" s="26"/>
      <c r="F267" s="26"/>
      <c r="G267" s="26"/>
      <c r="H267" s="26"/>
      <c r="I267" s="26"/>
      <c r="J267" s="90"/>
    </row>
    <row r="268" spans="1:10" ht="15.75" hidden="1" customHeight="1" outlineLevel="1" x14ac:dyDescent="0.25">
      <c r="A268" s="59" t="s">
        <v>75</v>
      </c>
      <c r="B268" s="89"/>
      <c r="C268" s="26"/>
      <c r="D268" s="26"/>
      <c r="E268" s="26"/>
      <c r="F268" s="26"/>
      <c r="G268" s="26"/>
      <c r="H268" s="26"/>
      <c r="I268" s="26"/>
      <c r="J268" s="90"/>
    </row>
    <row r="269" spans="1:10" ht="15.75" hidden="1" customHeight="1" outlineLevel="1" x14ac:dyDescent="0.25">
      <c r="A269" s="59" t="s">
        <v>78</v>
      </c>
      <c r="B269" s="89"/>
      <c r="C269" s="26"/>
      <c r="D269" s="26"/>
      <c r="E269" s="26"/>
      <c r="F269" s="26"/>
      <c r="G269" s="26"/>
      <c r="H269" s="26"/>
      <c r="I269" s="26"/>
      <c r="J269" s="90"/>
    </row>
    <row r="270" spans="1:10" ht="15.75" hidden="1" customHeight="1" outlineLevel="1" x14ac:dyDescent="0.25">
      <c r="A270" s="59" t="s">
        <v>76</v>
      </c>
      <c r="B270" s="89"/>
      <c r="C270" s="26"/>
      <c r="D270" s="26"/>
      <c r="E270" s="26"/>
      <c r="F270" s="26"/>
      <c r="G270" s="26"/>
      <c r="H270" s="26"/>
      <c r="I270" s="26"/>
      <c r="J270" s="90"/>
    </row>
    <row r="271" spans="1:10" ht="15.75" hidden="1" customHeight="1" outlineLevel="1" x14ac:dyDescent="0.25">
      <c r="A271" s="59" t="s">
        <v>77</v>
      </c>
      <c r="B271" s="89"/>
      <c r="C271" s="26"/>
      <c r="D271" s="26"/>
      <c r="E271" s="26"/>
      <c r="F271" s="26"/>
      <c r="G271" s="26"/>
      <c r="H271" s="26"/>
      <c r="I271" s="26"/>
      <c r="J271" s="90"/>
    </row>
    <row r="272" spans="1:10" ht="15.75" hidden="1" customHeight="1" outlineLevel="1" x14ac:dyDescent="0.25">
      <c r="A272" s="209" t="s">
        <v>84</v>
      </c>
      <c r="B272" s="89"/>
      <c r="C272" s="26"/>
      <c r="D272" s="26"/>
      <c r="E272" s="26"/>
      <c r="F272" s="26"/>
      <c r="G272" s="26"/>
      <c r="H272" s="26"/>
      <c r="I272" s="26"/>
      <c r="J272" s="90"/>
    </row>
    <row r="273" spans="1:10" ht="15.75" hidden="1" customHeight="1" outlineLevel="1" x14ac:dyDescent="0.25">
      <c r="A273" s="59" t="s">
        <v>70</v>
      </c>
      <c r="B273" s="89"/>
      <c r="C273" s="26"/>
      <c r="D273" s="26"/>
      <c r="E273" s="26"/>
      <c r="F273" s="26"/>
      <c r="G273" s="26"/>
      <c r="H273" s="26"/>
      <c r="I273" s="26"/>
      <c r="J273" s="90"/>
    </row>
    <row r="274" spans="1:10" ht="15.75" hidden="1" customHeight="1" outlineLevel="1" thickBot="1" x14ac:dyDescent="0.3">
      <c r="A274" s="60" t="s">
        <v>71</v>
      </c>
      <c r="B274" s="91"/>
      <c r="C274" s="92"/>
      <c r="D274" s="92"/>
      <c r="E274" s="92"/>
      <c r="F274" s="92"/>
      <c r="G274" s="92"/>
      <c r="H274" s="92"/>
      <c r="I274" s="92"/>
      <c r="J274" s="93"/>
    </row>
    <row r="275" spans="1:10" ht="15.75" customHeight="1" collapsed="1" thickBot="1" x14ac:dyDescent="0.3">
      <c r="A275" s="34"/>
    </row>
    <row r="276" spans="1:10" ht="15.75" customHeight="1" thickBot="1" x14ac:dyDescent="0.3">
      <c r="A276" s="103" t="s">
        <v>104</v>
      </c>
      <c r="B276" s="213"/>
      <c r="C276" s="213"/>
      <c r="D276" s="213"/>
      <c r="E276" s="213"/>
      <c r="F276" s="213"/>
      <c r="G276" s="213"/>
      <c r="H276" s="213"/>
      <c r="I276" s="213"/>
      <c r="J276" s="214"/>
    </row>
    <row r="277" spans="1:10" ht="15.75" customHeight="1" x14ac:dyDescent="0.25">
      <c r="A277" s="58" t="s">
        <v>20</v>
      </c>
      <c r="B277" s="21">
        <f>'Equipment Combat'!B347</f>
        <v>0</v>
      </c>
      <c r="C277" s="22">
        <f>'Equipment Combat'!C347</f>
        <v>0</v>
      </c>
      <c r="D277" s="22">
        <f>'Equipment Combat'!D347</f>
        <v>0</v>
      </c>
      <c r="E277" s="22">
        <f>'Equipment Combat'!E347</f>
        <v>0</v>
      </c>
      <c r="F277" s="22">
        <f>'Equipment Combat'!F347</f>
        <v>0</v>
      </c>
      <c r="G277" s="22">
        <f>'Equipment Combat'!G347</f>
        <v>0</v>
      </c>
      <c r="H277" s="22">
        <f>'Equipment Combat'!H347</f>
        <v>0</v>
      </c>
      <c r="I277" s="22">
        <f>'Equipment Combat'!I347</f>
        <v>0</v>
      </c>
      <c r="J277" s="23">
        <f>'Equipment Combat'!I347</f>
        <v>0</v>
      </c>
    </row>
    <row r="278" spans="1:10" ht="15.75" customHeight="1" x14ac:dyDescent="0.25">
      <c r="A278" s="94" t="s">
        <v>52</v>
      </c>
      <c r="B278" s="89">
        <f>'Equipment Combat'!B347</f>
        <v>0</v>
      </c>
      <c r="C278" s="26">
        <f>'Equipment Combat'!C347</f>
        <v>0</v>
      </c>
      <c r="D278" s="26">
        <f>'Equipment Combat'!D347</f>
        <v>0</v>
      </c>
      <c r="E278" s="26">
        <f>'Equipment Combat'!E347</f>
        <v>0</v>
      </c>
      <c r="F278" s="26">
        <f>'Equipment Combat'!F347</f>
        <v>0</v>
      </c>
      <c r="G278" s="26">
        <f>'Equipment Combat'!G347</f>
        <v>0</v>
      </c>
      <c r="H278" s="26">
        <f>'Equipment Combat'!H347</f>
        <v>0</v>
      </c>
      <c r="I278" s="26">
        <f>'Equipment Combat'!I347</f>
        <v>0</v>
      </c>
      <c r="J278" s="90">
        <f>'Equipment Combat'!I347</f>
        <v>0</v>
      </c>
    </row>
    <row r="279" spans="1:10" ht="15.75" customHeight="1" x14ac:dyDescent="0.25">
      <c r="A279" s="59" t="s">
        <v>23</v>
      </c>
      <c r="B279" s="89">
        <f>'Equipment Combat'!B347</f>
        <v>0</v>
      </c>
      <c r="C279" s="26">
        <f>'Equipment Combat'!C347</f>
        <v>0</v>
      </c>
      <c r="D279" s="1529">
        <v>-1</v>
      </c>
      <c r="E279" s="26">
        <f>'Equipment Combat'!E347</f>
        <v>0</v>
      </c>
      <c r="F279" s="26">
        <f>'Equipment Combat'!F347</f>
        <v>0</v>
      </c>
      <c r="G279" s="26">
        <f>'Equipment Combat'!G347</f>
        <v>0</v>
      </c>
      <c r="H279" s="26">
        <f>'Equipment Combat'!H347</f>
        <v>0</v>
      </c>
      <c r="I279" s="26">
        <f>'Equipment Combat'!I347</f>
        <v>0</v>
      </c>
      <c r="J279" s="90">
        <f>'Equipment Combat'!I347</f>
        <v>0</v>
      </c>
    </row>
    <row r="280" spans="1:10" ht="15.75" customHeight="1" thickBot="1" x14ac:dyDescent="0.3">
      <c r="A280" s="292" t="s">
        <v>63</v>
      </c>
      <c r="B280" s="91">
        <f>'Equipment Combat'!B347</f>
        <v>0</v>
      </c>
      <c r="C280" s="92">
        <f>'Equipment Combat'!C347</f>
        <v>0</v>
      </c>
      <c r="D280" s="92">
        <f>'Equipment Combat'!D347</f>
        <v>0</v>
      </c>
      <c r="E280" s="92">
        <f>'Equipment Combat'!E347</f>
        <v>0</v>
      </c>
      <c r="F280" s="92">
        <f>'Equipment Combat'!F347</f>
        <v>0</v>
      </c>
      <c r="G280" s="92">
        <f>'Equipment Combat'!G347</f>
        <v>0</v>
      </c>
      <c r="H280" s="92">
        <f>'Equipment Combat'!H347</f>
        <v>0</v>
      </c>
      <c r="I280" s="92">
        <f>'Equipment Combat'!I347</f>
        <v>0</v>
      </c>
      <c r="J280" s="93">
        <f>'Equipment Combat'!I347</f>
        <v>0</v>
      </c>
    </row>
    <row r="281" spans="1:10" ht="15.75" customHeight="1" x14ac:dyDescent="0.25"/>
    <row r="282" spans="1:10" ht="15.75" hidden="1" customHeight="1" outlineLevel="1" x14ac:dyDescent="0.25">
      <c r="A282" s="215" t="s">
        <v>20</v>
      </c>
      <c r="B282" s="21">
        <f t="shared" ref="B282:J282" si="49">IF(B96="Trained",1)+IF(B96="Expert",2)+IF(B96="Master",3)+IF(B96="Legendary",4)</f>
        <v>0</v>
      </c>
      <c r="C282" s="22">
        <f t="shared" si="49"/>
        <v>0</v>
      </c>
      <c r="D282" s="22">
        <f t="shared" si="49"/>
        <v>0</v>
      </c>
      <c r="E282" s="22">
        <f t="shared" si="49"/>
        <v>2</v>
      </c>
      <c r="F282" s="22">
        <f t="shared" si="49"/>
        <v>1</v>
      </c>
      <c r="G282" s="22">
        <f t="shared" si="49"/>
        <v>2</v>
      </c>
      <c r="H282" s="22">
        <f t="shared" si="49"/>
        <v>2</v>
      </c>
      <c r="I282" s="22">
        <f t="shared" ref="I282" si="50">IF(I96="Trained",1)+IF(I96="Expert",2)+IF(I96="Master",3)+IF(I96="Legendary",4)</f>
        <v>2</v>
      </c>
      <c r="J282" s="23">
        <f t="shared" si="49"/>
        <v>1</v>
      </c>
    </row>
    <row r="283" spans="1:10" ht="15.75" hidden="1" customHeight="1" outlineLevel="1" x14ac:dyDescent="0.25">
      <c r="A283" s="216" t="s">
        <v>51</v>
      </c>
      <c r="B283" s="89">
        <f t="shared" ref="B283:J283" si="51">IF(B98="Trained",1)+IF(B98="Expert",2)+IF(B98="Master",3)+IF(B98="Legendary",4)</f>
        <v>0</v>
      </c>
      <c r="C283" s="26">
        <f t="shared" si="51"/>
        <v>1</v>
      </c>
      <c r="D283" s="26">
        <f t="shared" si="51"/>
        <v>0</v>
      </c>
      <c r="E283" s="26">
        <f t="shared" si="51"/>
        <v>0</v>
      </c>
      <c r="F283" s="26">
        <f t="shared" si="51"/>
        <v>1</v>
      </c>
      <c r="G283" s="26">
        <f t="shared" si="51"/>
        <v>0</v>
      </c>
      <c r="H283" s="26">
        <f t="shared" si="51"/>
        <v>0</v>
      </c>
      <c r="I283" s="26">
        <f t="shared" ref="I283" si="52">IF(I98="Trained",1)+IF(I98="Expert",2)+IF(I98="Master",3)+IF(I98="Legendary",4)</f>
        <v>0</v>
      </c>
      <c r="J283" s="90">
        <f t="shared" si="51"/>
        <v>0</v>
      </c>
    </row>
    <row r="284" spans="1:10" ht="15.75" hidden="1" customHeight="1" outlineLevel="1" x14ac:dyDescent="0.25">
      <c r="A284" s="216" t="s">
        <v>52</v>
      </c>
      <c r="B284" s="89">
        <f t="shared" ref="B284:J284" si="53">IF(B100="Trained",1)+IF(B100="Expert",2)+IF(B100="Master",3)+IF(B100="Legendary",4)</f>
        <v>1</v>
      </c>
      <c r="C284" s="26">
        <f t="shared" si="53"/>
        <v>0</v>
      </c>
      <c r="D284" s="26">
        <f t="shared" si="53"/>
        <v>1</v>
      </c>
      <c r="E284" s="26">
        <f t="shared" si="53"/>
        <v>2</v>
      </c>
      <c r="F284" s="26">
        <f t="shared" si="53"/>
        <v>0</v>
      </c>
      <c r="G284" s="26">
        <f t="shared" si="53"/>
        <v>2</v>
      </c>
      <c r="H284" s="26">
        <f t="shared" si="53"/>
        <v>2</v>
      </c>
      <c r="I284" s="26">
        <f t="shared" ref="I284" si="54">IF(I100="Trained",1)+IF(I100="Expert",2)+IF(I100="Master",3)+IF(I100="Legendary",4)</f>
        <v>1</v>
      </c>
      <c r="J284" s="90">
        <f t="shared" si="53"/>
        <v>1</v>
      </c>
    </row>
    <row r="285" spans="1:10" ht="15.75" hidden="1" customHeight="1" outlineLevel="1" x14ac:dyDescent="0.25">
      <c r="A285" s="216" t="s">
        <v>53</v>
      </c>
      <c r="B285" s="89">
        <f t="shared" ref="B285:J285" si="55">IF(B102="Trained",1)+IF(B102="Expert",2)+IF(B102="Master",3)+IF(B102="Legendary",4)</f>
        <v>0</v>
      </c>
      <c r="C285" s="26">
        <f t="shared" si="55"/>
        <v>1</v>
      </c>
      <c r="D285" s="26">
        <f t="shared" si="55"/>
        <v>2</v>
      </c>
      <c r="E285" s="26">
        <f t="shared" si="55"/>
        <v>1</v>
      </c>
      <c r="F285" s="26">
        <f t="shared" si="55"/>
        <v>0</v>
      </c>
      <c r="G285" s="26">
        <f t="shared" si="55"/>
        <v>1</v>
      </c>
      <c r="H285" s="26">
        <f t="shared" si="55"/>
        <v>0</v>
      </c>
      <c r="I285" s="26">
        <f t="shared" ref="I285" si="56">IF(I102="Trained",1)+IF(I102="Expert",2)+IF(I102="Master",3)+IF(I102="Legendary",4)</f>
        <v>1</v>
      </c>
      <c r="J285" s="90">
        <f t="shared" si="55"/>
        <v>0</v>
      </c>
    </row>
    <row r="286" spans="1:10" ht="15.75" hidden="1" customHeight="1" outlineLevel="1" x14ac:dyDescent="0.25">
      <c r="A286" s="216" t="s">
        <v>54</v>
      </c>
      <c r="B286" s="89">
        <f t="shared" ref="B286:J286" si="57">IF(B104="Trained",1)+IF(B104="Expert",2)+IF(B104="Master",3)+IF(B104="Legendary",4)</f>
        <v>0</v>
      </c>
      <c r="C286" s="26">
        <f t="shared" si="57"/>
        <v>1</v>
      </c>
      <c r="D286" s="26">
        <f t="shared" si="57"/>
        <v>0</v>
      </c>
      <c r="E286" s="26">
        <f t="shared" si="57"/>
        <v>0</v>
      </c>
      <c r="F286" s="26">
        <f t="shared" si="57"/>
        <v>0</v>
      </c>
      <c r="G286" s="26">
        <f t="shared" si="57"/>
        <v>2</v>
      </c>
      <c r="H286" s="26">
        <f t="shared" si="57"/>
        <v>0</v>
      </c>
      <c r="I286" s="26">
        <f t="shared" ref="I286" si="58">IF(I104="Trained",1)+IF(I104="Expert",2)+IF(I104="Master",3)+IF(I104="Legendary",4)</f>
        <v>2</v>
      </c>
      <c r="J286" s="90">
        <f t="shared" si="57"/>
        <v>0</v>
      </c>
    </row>
    <row r="287" spans="1:10" ht="15.75" hidden="1" customHeight="1" outlineLevel="1" x14ac:dyDescent="0.25">
      <c r="A287" s="217" t="s">
        <v>21</v>
      </c>
      <c r="B287" s="89">
        <f t="shared" ref="B287:J287" si="59">IF(B106="Trained",1)+IF(B106="Expert",2)+IF(B106="Master",3)+IF(B106="Legendary",4)</f>
        <v>1</v>
      </c>
      <c r="C287" s="26">
        <f t="shared" si="59"/>
        <v>1</v>
      </c>
      <c r="D287" s="26">
        <f t="shared" si="59"/>
        <v>1</v>
      </c>
      <c r="E287" s="26">
        <f t="shared" si="59"/>
        <v>0</v>
      </c>
      <c r="F287" s="26">
        <f t="shared" si="59"/>
        <v>2</v>
      </c>
      <c r="G287" s="26">
        <f t="shared" si="59"/>
        <v>2</v>
      </c>
      <c r="H287" s="26">
        <f t="shared" si="59"/>
        <v>0</v>
      </c>
      <c r="I287" s="26">
        <f t="shared" ref="I287" si="60">IF(I106="Trained",1)+IF(I106="Expert",2)+IF(I106="Master",3)+IF(I106="Legendary",4)</f>
        <v>1</v>
      </c>
      <c r="J287" s="90">
        <f t="shared" si="59"/>
        <v>0</v>
      </c>
    </row>
    <row r="288" spans="1:10" ht="15.75" hidden="1" customHeight="1" outlineLevel="1" x14ac:dyDescent="0.25">
      <c r="A288" s="216" t="s">
        <v>55</v>
      </c>
      <c r="B288" s="89">
        <f t="shared" ref="B288:J288" si="61">IF(B108="Trained",1)+IF(B108="Expert",2)+IF(B108="Master",3)+IF(B108="Legendary",4)</f>
        <v>0</v>
      </c>
      <c r="C288" s="26">
        <f t="shared" si="61"/>
        <v>0</v>
      </c>
      <c r="D288" s="26">
        <f t="shared" si="61"/>
        <v>1</v>
      </c>
      <c r="E288" s="26">
        <f t="shared" si="61"/>
        <v>0</v>
      </c>
      <c r="F288" s="26">
        <f t="shared" si="61"/>
        <v>1</v>
      </c>
      <c r="G288" s="26">
        <f t="shared" si="61"/>
        <v>1</v>
      </c>
      <c r="H288" s="26">
        <f t="shared" si="61"/>
        <v>1</v>
      </c>
      <c r="I288" s="26">
        <f t="shared" ref="I288" si="62">IF(I108="Trained",1)+IF(I108="Expert",2)+IF(I108="Master",3)+IF(I108="Legendary",4)</f>
        <v>2</v>
      </c>
      <c r="J288" s="90">
        <f t="shared" si="61"/>
        <v>0</v>
      </c>
    </row>
    <row r="289" spans="1:10" ht="15.75" hidden="1" customHeight="1" outlineLevel="1" x14ac:dyDescent="0.25">
      <c r="A289" s="216" t="s">
        <v>56</v>
      </c>
      <c r="B289" s="89">
        <f t="shared" ref="B289:J289" si="63">IF(B110="Trained",1)+IF(B110="Expert",2)+IF(B110="Master",3)+IF(B110="Legendary",4)</f>
        <v>0</v>
      </c>
      <c r="C289" s="26">
        <f t="shared" si="63"/>
        <v>0</v>
      </c>
      <c r="D289" s="26">
        <f t="shared" si="63"/>
        <v>0</v>
      </c>
      <c r="E289" s="26">
        <f t="shared" si="63"/>
        <v>0</v>
      </c>
      <c r="F289" s="26">
        <f t="shared" si="63"/>
        <v>0</v>
      </c>
      <c r="G289" s="26">
        <f t="shared" si="63"/>
        <v>0</v>
      </c>
      <c r="H289" s="26">
        <f t="shared" si="63"/>
        <v>0</v>
      </c>
      <c r="I289" s="26">
        <f t="shared" ref="I289" si="64">IF(I110="Trained",1)+IF(I110="Expert",2)+IF(I110="Master",3)+IF(I110="Legendary",4)</f>
        <v>0</v>
      </c>
      <c r="J289" s="90">
        <f t="shared" si="63"/>
        <v>0</v>
      </c>
    </row>
    <row r="290" spans="1:10" ht="15.75" hidden="1" customHeight="1" outlineLevel="1" x14ac:dyDescent="0.25">
      <c r="A290" s="216" t="s">
        <v>67</v>
      </c>
      <c r="B290" s="89">
        <f t="shared" ref="B290:J290" si="65">IF(B112="Trained",1)+IF(B112="Expert",2)+IF(B112="Master",3)+IF(B112="Legendary",4)</f>
        <v>2</v>
      </c>
      <c r="C290" s="26">
        <f t="shared" si="65"/>
        <v>1</v>
      </c>
      <c r="D290" s="26">
        <f t="shared" si="65"/>
        <v>1</v>
      </c>
      <c r="E290" s="26">
        <f t="shared" si="65"/>
        <v>1</v>
      </c>
      <c r="F290" s="26">
        <f t="shared" si="65"/>
        <v>1</v>
      </c>
      <c r="G290" s="26">
        <f t="shared" si="65"/>
        <v>1</v>
      </c>
      <c r="H290" s="26">
        <f t="shared" si="65"/>
        <v>1</v>
      </c>
      <c r="I290" s="26">
        <f t="shared" ref="I290" si="66">IF(I112="Trained",1)+IF(I112="Expert",2)+IF(I112="Master",3)+IF(I112="Legendary",4)</f>
        <v>1</v>
      </c>
      <c r="J290" s="90">
        <f t="shared" si="65"/>
        <v>0</v>
      </c>
    </row>
    <row r="291" spans="1:10" ht="15.75" hidden="1" customHeight="1" outlineLevel="1" x14ac:dyDescent="0.25">
      <c r="A291" s="216" t="s">
        <v>68</v>
      </c>
      <c r="B291" s="89">
        <f t="shared" ref="B291:J291" si="67">IF(B114="Trained",1)+IF(B114="Expert",2)+IF(B114="Master",3)+IF(B114="Legendary",4)</f>
        <v>1</v>
      </c>
      <c r="C291" s="26">
        <f t="shared" si="67"/>
        <v>0</v>
      </c>
      <c r="D291" s="26">
        <f t="shared" si="67"/>
        <v>0</v>
      </c>
      <c r="E291" s="26">
        <f t="shared" si="67"/>
        <v>0</v>
      </c>
      <c r="F291" s="26">
        <f t="shared" si="67"/>
        <v>1</v>
      </c>
      <c r="G291" s="26">
        <f t="shared" si="67"/>
        <v>0</v>
      </c>
      <c r="H291" s="26">
        <f t="shared" si="67"/>
        <v>0</v>
      </c>
      <c r="I291" s="26">
        <f t="shared" ref="I291" si="68">IF(I114="Trained",1)+IF(I114="Expert",2)+IF(I114="Master",3)+IF(I114="Legendary",4)</f>
        <v>0</v>
      </c>
      <c r="J291" s="90">
        <f t="shared" si="67"/>
        <v>0</v>
      </c>
    </row>
    <row r="292" spans="1:10" ht="15.75" hidden="1" customHeight="1" outlineLevel="1" x14ac:dyDescent="0.25">
      <c r="A292" s="216" t="s">
        <v>69</v>
      </c>
      <c r="B292" s="89">
        <f t="shared" ref="B292:J292" si="69">IF(B116="Trained",1)+IF(B116="Expert",2)+IF(B116="Master",3)+IF(B116="Legendary",4)</f>
        <v>0</v>
      </c>
      <c r="C292" s="26">
        <f t="shared" si="69"/>
        <v>0</v>
      </c>
      <c r="D292" s="26">
        <f t="shared" si="69"/>
        <v>0</v>
      </c>
      <c r="E292" s="26">
        <f t="shared" si="69"/>
        <v>0</v>
      </c>
      <c r="F292" s="26">
        <f t="shared" si="69"/>
        <v>0</v>
      </c>
      <c r="G292" s="26">
        <f t="shared" si="69"/>
        <v>0</v>
      </c>
      <c r="H292" s="26">
        <f t="shared" si="69"/>
        <v>0</v>
      </c>
      <c r="I292" s="26">
        <f t="shared" ref="I292" si="70">IF(I116="Trained",1)+IF(I116="Expert",2)+IF(I116="Master",3)+IF(I116="Legendary",4)</f>
        <v>0</v>
      </c>
      <c r="J292" s="90">
        <f t="shared" si="69"/>
        <v>0</v>
      </c>
    </row>
    <row r="293" spans="1:10" ht="15.75" hidden="1" customHeight="1" outlineLevel="1" x14ac:dyDescent="0.25">
      <c r="A293" s="216" t="s">
        <v>57</v>
      </c>
      <c r="B293" s="89">
        <f t="shared" ref="B293:J293" si="71">IF(B118="Trained",1)+IF(B118="Expert",2)+IF(B118="Master",3)+IF(B118="Legendary",4)</f>
        <v>1</v>
      </c>
      <c r="C293" s="26">
        <f t="shared" si="71"/>
        <v>2</v>
      </c>
      <c r="D293" s="26">
        <f t="shared" si="71"/>
        <v>1</v>
      </c>
      <c r="E293" s="26">
        <f t="shared" si="71"/>
        <v>0</v>
      </c>
      <c r="F293" s="26">
        <f t="shared" si="71"/>
        <v>2</v>
      </c>
      <c r="G293" s="26">
        <f t="shared" si="71"/>
        <v>0</v>
      </c>
      <c r="H293" s="26">
        <f t="shared" si="71"/>
        <v>0</v>
      </c>
      <c r="I293" s="26">
        <f t="shared" ref="I293" si="72">IF(I118="Trained",1)+IF(I118="Expert",2)+IF(I118="Master",3)+IF(I118="Legendary",4)</f>
        <v>1</v>
      </c>
      <c r="J293" s="90">
        <f t="shared" si="71"/>
        <v>0</v>
      </c>
    </row>
    <row r="294" spans="1:10" ht="15.75" hidden="1" customHeight="1" outlineLevel="1" x14ac:dyDescent="0.25">
      <c r="A294" s="216" t="s">
        <v>58</v>
      </c>
      <c r="B294" s="89">
        <f t="shared" ref="B294:J294" si="73">IF(B120="Trained",1)+IF(B120="Expert",2)+IF(B120="Master",3)+IF(B120="Legendary",4)</f>
        <v>2</v>
      </c>
      <c r="C294" s="26">
        <f t="shared" si="73"/>
        <v>0</v>
      </c>
      <c r="D294" s="26">
        <f t="shared" si="73"/>
        <v>0</v>
      </c>
      <c r="E294" s="26">
        <f t="shared" si="73"/>
        <v>0</v>
      </c>
      <c r="F294" s="26">
        <f t="shared" si="73"/>
        <v>1</v>
      </c>
      <c r="G294" s="26">
        <f t="shared" si="73"/>
        <v>0</v>
      </c>
      <c r="H294" s="26">
        <f t="shared" si="73"/>
        <v>0</v>
      </c>
      <c r="I294" s="26">
        <f t="shared" ref="I294" si="74">IF(I120="Trained",1)+IF(I120="Expert",2)+IF(I120="Master",3)+IF(I120="Legendary",4)</f>
        <v>1</v>
      </c>
      <c r="J294" s="90">
        <f t="shared" si="73"/>
        <v>0</v>
      </c>
    </row>
    <row r="295" spans="1:10" ht="15.75" hidden="1" customHeight="1" outlineLevel="1" x14ac:dyDescent="0.25">
      <c r="A295" s="216" t="s">
        <v>59</v>
      </c>
      <c r="B295" s="89">
        <f t="shared" ref="B295:J295" si="75">IF(B122="Trained",1)+IF(B122="Expert",2)+IF(B122="Master",3)+IF(B122="Legendary",4)</f>
        <v>0</v>
      </c>
      <c r="C295" s="26">
        <f t="shared" si="75"/>
        <v>0</v>
      </c>
      <c r="D295" s="26">
        <f t="shared" si="75"/>
        <v>1</v>
      </c>
      <c r="E295" s="26">
        <f t="shared" si="75"/>
        <v>0</v>
      </c>
      <c r="F295" s="26">
        <f t="shared" si="75"/>
        <v>0</v>
      </c>
      <c r="G295" s="26">
        <f t="shared" si="75"/>
        <v>1</v>
      </c>
      <c r="H295" s="26">
        <f t="shared" si="75"/>
        <v>0</v>
      </c>
      <c r="I295" s="26">
        <f t="shared" ref="I295" si="76">IF(I122="Trained",1)+IF(I122="Expert",2)+IF(I122="Master",3)+IF(I122="Legendary",4)</f>
        <v>0</v>
      </c>
      <c r="J295" s="90">
        <f t="shared" si="75"/>
        <v>0</v>
      </c>
    </row>
    <row r="296" spans="1:10" ht="15.75" hidden="1" customHeight="1" outlineLevel="1" x14ac:dyDescent="0.25">
      <c r="A296" s="216" t="s">
        <v>60</v>
      </c>
      <c r="B296" s="89">
        <f t="shared" ref="B296:J296" si="77">IF(B124="Trained",1)+IF(B124="Expert",2)+IF(B124="Master",3)+IF(B124="Legendary",4)</f>
        <v>2</v>
      </c>
      <c r="C296" s="26">
        <f t="shared" si="77"/>
        <v>2</v>
      </c>
      <c r="D296" s="26">
        <f t="shared" si="77"/>
        <v>1</v>
      </c>
      <c r="E296" s="26">
        <f t="shared" si="77"/>
        <v>0</v>
      </c>
      <c r="F296" s="26">
        <f t="shared" si="77"/>
        <v>0</v>
      </c>
      <c r="G296" s="26">
        <f t="shared" si="77"/>
        <v>1</v>
      </c>
      <c r="H296" s="26">
        <f t="shared" si="77"/>
        <v>0</v>
      </c>
      <c r="I296" s="26">
        <f t="shared" ref="I296" si="78">IF(I124="Trained",1)+IF(I124="Expert",2)+IF(I124="Master",3)+IF(I124="Legendary",4)</f>
        <v>1</v>
      </c>
      <c r="J296" s="90">
        <f t="shared" si="77"/>
        <v>0</v>
      </c>
    </row>
    <row r="297" spans="1:10" ht="15.75" hidden="1" customHeight="1" outlineLevel="1" x14ac:dyDescent="0.25">
      <c r="A297" s="216" t="s">
        <v>61</v>
      </c>
      <c r="B297" s="89">
        <f t="shared" ref="B297:J297" si="79">IF(B126="Trained",1)+IF(B126="Expert",2)+IF(B126="Master",3)+IF(B126="Legendary",4)</f>
        <v>1</v>
      </c>
      <c r="C297" s="26">
        <f t="shared" si="79"/>
        <v>0</v>
      </c>
      <c r="D297" s="26">
        <f t="shared" si="79"/>
        <v>0</v>
      </c>
      <c r="E297" s="26">
        <f t="shared" si="79"/>
        <v>0</v>
      </c>
      <c r="F297" s="26">
        <f t="shared" si="79"/>
        <v>1</v>
      </c>
      <c r="G297" s="26">
        <f t="shared" si="79"/>
        <v>0</v>
      </c>
      <c r="H297" s="26">
        <f t="shared" si="79"/>
        <v>0</v>
      </c>
      <c r="I297" s="26">
        <f t="shared" ref="I297" si="80">IF(I126="Trained",1)+IF(I126="Expert",2)+IF(I126="Master",3)+IF(I126="Legendary",4)</f>
        <v>0</v>
      </c>
      <c r="J297" s="90">
        <f t="shared" si="79"/>
        <v>0</v>
      </c>
    </row>
    <row r="298" spans="1:10" ht="15.75" hidden="1" customHeight="1" outlineLevel="1" x14ac:dyDescent="0.25">
      <c r="A298" s="216" t="s">
        <v>62</v>
      </c>
      <c r="B298" s="89">
        <f t="shared" ref="B298:J298" si="81">IF(B128="Trained",1)+IF(B128="Expert",2)+IF(B128="Master",3)+IF(B128="Legendary",4)</f>
        <v>0</v>
      </c>
      <c r="C298" s="26">
        <f t="shared" si="81"/>
        <v>1</v>
      </c>
      <c r="D298" s="26">
        <f t="shared" si="81"/>
        <v>2</v>
      </c>
      <c r="E298" s="26">
        <f t="shared" si="81"/>
        <v>0</v>
      </c>
      <c r="F298" s="26">
        <f t="shared" si="81"/>
        <v>0</v>
      </c>
      <c r="G298" s="26">
        <f t="shared" si="81"/>
        <v>1</v>
      </c>
      <c r="H298" s="26">
        <f t="shared" si="81"/>
        <v>0</v>
      </c>
      <c r="I298" s="26">
        <f t="shared" ref="I298" si="82">IF(I128="Trained",1)+IF(I128="Expert",2)+IF(I128="Master",3)+IF(I128="Legendary",4)</f>
        <v>1</v>
      </c>
      <c r="J298" s="90">
        <f t="shared" si="81"/>
        <v>0</v>
      </c>
    </row>
    <row r="299" spans="1:10" ht="15.75" hidden="1" customHeight="1" outlineLevel="1" x14ac:dyDescent="0.25">
      <c r="A299" s="217" t="s">
        <v>23</v>
      </c>
      <c r="B299" s="89">
        <f t="shared" ref="B299:J299" si="83">IF(B130="Trained",1)+IF(B130="Expert",2)+IF(B130="Master",3)+IF(B130="Legendary",4)</f>
        <v>0</v>
      </c>
      <c r="C299" s="26">
        <f t="shared" si="83"/>
        <v>0</v>
      </c>
      <c r="D299" s="26">
        <f t="shared" si="83"/>
        <v>0</v>
      </c>
      <c r="E299" s="26">
        <f t="shared" si="83"/>
        <v>1</v>
      </c>
      <c r="F299" s="26">
        <f t="shared" si="83"/>
        <v>1</v>
      </c>
      <c r="G299" s="26">
        <f t="shared" si="83"/>
        <v>1</v>
      </c>
      <c r="H299" s="26">
        <f t="shared" si="83"/>
        <v>1</v>
      </c>
      <c r="I299" s="26">
        <f t="shared" ref="I299" si="84">IF(I130="Trained",1)+IF(I130="Expert",2)+IF(I130="Master",3)+IF(I130="Legendary",4)</f>
        <v>2</v>
      </c>
      <c r="J299" s="90">
        <f t="shared" si="83"/>
        <v>1</v>
      </c>
    </row>
    <row r="300" spans="1:10" ht="15.75" hidden="1" customHeight="1" outlineLevel="1" x14ac:dyDescent="0.25">
      <c r="A300" s="217" t="s">
        <v>24</v>
      </c>
      <c r="B300" s="89">
        <f t="shared" ref="B300:J300" si="85">IF(B132="Trained",1)+IF(B132="Expert",2)+IF(B132="Master",3)+IF(B132="Legendary",4)</f>
        <v>1</v>
      </c>
      <c r="C300" s="26">
        <f t="shared" si="85"/>
        <v>1</v>
      </c>
      <c r="D300" s="26">
        <f t="shared" si="85"/>
        <v>0</v>
      </c>
      <c r="E300" s="26">
        <f t="shared" si="85"/>
        <v>1</v>
      </c>
      <c r="F300" s="26">
        <f t="shared" si="85"/>
        <v>1</v>
      </c>
      <c r="G300" s="26">
        <f t="shared" si="85"/>
        <v>1</v>
      </c>
      <c r="H300" s="26">
        <f t="shared" si="85"/>
        <v>1</v>
      </c>
      <c r="I300" s="26">
        <f t="shared" ref="I300" si="86">IF(I132="Trained",1)+IF(I132="Expert",2)+IF(I132="Master",3)+IF(I132="Legendary",4)</f>
        <v>1</v>
      </c>
      <c r="J300" s="90">
        <f t="shared" si="85"/>
        <v>0</v>
      </c>
    </row>
    <row r="301" spans="1:10" ht="15.75" hidden="1" customHeight="1" outlineLevel="1" thickBot="1" x14ac:dyDescent="0.3">
      <c r="A301" s="218" t="s">
        <v>63</v>
      </c>
      <c r="B301" s="91">
        <f t="shared" ref="B301:J301" si="87">IF(B134="Trained",1)+IF(B134="Expert",2)+IF(B134="Master",3)+IF(B134="Legendary",4)</f>
        <v>0</v>
      </c>
      <c r="C301" s="92">
        <f t="shared" si="87"/>
        <v>0</v>
      </c>
      <c r="D301" s="92">
        <f t="shared" si="87"/>
        <v>0</v>
      </c>
      <c r="E301" s="92">
        <f t="shared" si="87"/>
        <v>1</v>
      </c>
      <c r="F301" s="92">
        <f t="shared" si="87"/>
        <v>0</v>
      </c>
      <c r="G301" s="92">
        <f t="shared" si="87"/>
        <v>1</v>
      </c>
      <c r="H301" s="92">
        <f t="shared" si="87"/>
        <v>0</v>
      </c>
      <c r="I301" s="92">
        <f t="shared" ref="I301" si="88">IF(I134="Trained",1)+IF(I134="Expert",2)+IF(I134="Master",3)+IF(I134="Legendary",4)</f>
        <v>1</v>
      </c>
      <c r="J301" s="93">
        <f t="shared" si="87"/>
        <v>0</v>
      </c>
    </row>
    <row r="302" spans="1:10" s="95" customFormat="1" ht="15.75" customHeight="1" collapsed="1" thickBot="1" x14ac:dyDescent="0.3">
      <c r="A302" s="1246"/>
      <c r="B302" s="1245"/>
      <c r="C302" s="1245"/>
      <c r="D302" s="1245"/>
      <c r="E302" s="1245"/>
      <c r="F302" s="1245"/>
      <c r="G302" s="1245"/>
      <c r="H302" s="1245"/>
      <c r="I302" s="1245"/>
      <c r="J302" s="1245"/>
    </row>
    <row r="303" spans="1:10" ht="15.75" customHeight="1" thickBot="1" x14ac:dyDescent="0.3">
      <c r="A303" s="870" t="s">
        <v>206</v>
      </c>
      <c r="B303" s="213"/>
      <c r="C303" s="213"/>
      <c r="D303" s="213"/>
      <c r="E303" s="213"/>
      <c r="F303" s="213"/>
      <c r="G303" s="213"/>
      <c r="H303" s="213"/>
      <c r="I303" s="213"/>
      <c r="J303" s="214"/>
    </row>
    <row r="304" spans="1:10" ht="15.75" hidden="1" customHeight="1" outlineLevel="1" x14ac:dyDescent="0.25">
      <c r="A304" s="1239" t="s">
        <v>26</v>
      </c>
      <c r="B304" s="36" t="str">
        <f>'Dés de vie'!B3</f>
        <v>Goblin</v>
      </c>
      <c r="C304" s="37" t="str">
        <f>'Dés de vie'!C3</f>
        <v>Elf</v>
      </c>
      <c r="D304" s="37" t="str">
        <f>'Dés de vie'!D3</f>
        <v>Human</v>
      </c>
      <c r="E304" s="37" t="str">
        <f>'Dés de vie'!E3</f>
        <v>Dwarf</v>
      </c>
      <c r="F304" s="37" t="str">
        <f>'Dés de vie'!F3</f>
        <v>Elf</v>
      </c>
      <c r="G304" s="37" t="str">
        <f>'Dés de vie'!G3</f>
        <v>Elf</v>
      </c>
      <c r="H304" s="37" t="str">
        <f>'Dés de vie'!H3</f>
        <v>Human</v>
      </c>
      <c r="I304" s="37" t="str">
        <f>'Dés de vie'!I3</f>
        <v>Goblin</v>
      </c>
      <c r="J304" s="38" t="str">
        <f>'Dés de vie'!J3</f>
        <v>Dromaeosaur</v>
      </c>
    </row>
    <row r="305" spans="1:10" ht="15.75" hidden="1" customHeight="1" outlineLevel="1" thickBot="1" x14ac:dyDescent="0.3">
      <c r="A305" s="198" t="s">
        <v>948</v>
      </c>
      <c r="B305" s="20"/>
      <c r="C305" s="18"/>
      <c r="D305" s="206" t="s">
        <v>775</v>
      </c>
      <c r="E305" s="206" t="s">
        <v>775</v>
      </c>
      <c r="F305" s="18"/>
      <c r="G305" s="18"/>
      <c r="H305" s="18"/>
      <c r="I305" s="18"/>
      <c r="J305" s="19"/>
    </row>
    <row r="306" spans="1:10" ht="15.75" hidden="1" customHeight="1" outlineLevel="1" x14ac:dyDescent="0.25">
      <c r="A306" s="1240" t="s">
        <v>776</v>
      </c>
      <c r="B306" s="1242">
        <v>25</v>
      </c>
      <c r="C306" s="1237">
        <v>30</v>
      </c>
      <c r="D306" s="1237">
        <v>25</v>
      </c>
      <c r="E306" s="1237">
        <v>20</v>
      </c>
      <c r="F306" s="1237">
        <v>30</v>
      </c>
      <c r="G306" s="1237">
        <v>30</v>
      </c>
      <c r="H306" s="1237">
        <v>25</v>
      </c>
      <c r="I306" s="1237">
        <v>25</v>
      </c>
      <c r="J306" s="1238">
        <v>50</v>
      </c>
    </row>
    <row r="307" spans="1:10" ht="15.75" hidden="1" customHeight="1" outlineLevel="1" x14ac:dyDescent="0.25">
      <c r="A307" s="205" t="s">
        <v>29</v>
      </c>
      <c r="B307" s="1243"/>
      <c r="C307" s="1236"/>
      <c r="D307" s="1236">
        <v>5</v>
      </c>
      <c r="E307" s="1236">
        <v>5</v>
      </c>
      <c r="F307" s="1236"/>
      <c r="G307" s="1236"/>
      <c r="H307" s="1236"/>
      <c r="I307" s="1236"/>
      <c r="J307" s="1235"/>
    </row>
    <row r="308" spans="1:10" ht="15.75" hidden="1" customHeight="1" outlineLevel="1" x14ac:dyDescent="0.25">
      <c r="A308" s="205" t="s">
        <v>104</v>
      </c>
      <c r="B308" s="1243">
        <f>IF(Stats!B2&lt;'Equipment Combat'!B345,-5,0)</f>
        <v>0</v>
      </c>
      <c r="C308" s="1236">
        <f>IF(Stats!C2&lt;'Equipment Combat'!C345,-5,0)</f>
        <v>0</v>
      </c>
      <c r="D308" s="1236">
        <f>IF(Stats!D2&lt;'Equipment Combat'!D345,-5,0)</f>
        <v>0</v>
      </c>
      <c r="E308" s="1236">
        <f>IF(Stats!E2&lt;'Equipment Combat'!E345,-5,0)</f>
        <v>0</v>
      </c>
      <c r="F308" s="1236">
        <f>IF(Stats!F2&lt;'Equipment Combat'!F345,-5,0)</f>
        <v>0</v>
      </c>
      <c r="G308" s="1236">
        <f>IF(Stats!G2&lt;'Equipment Combat'!G345,-5,0)</f>
        <v>0</v>
      </c>
      <c r="H308" s="1236">
        <f>IF(Stats!H2&lt;'Equipment Combat'!H345,-5,0)</f>
        <v>0</v>
      </c>
      <c r="I308" s="1236">
        <f>IF(Stats!I2&lt;'Equipment Combat'!I345,-5,0)</f>
        <v>0</v>
      </c>
      <c r="J308" s="1235">
        <f>IF(Stats!J2&lt;'Equipment Combat'!J345,-5,0)</f>
        <v>0</v>
      </c>
    </row>
    <row r="309" spans="1:10" ht="15.75" customHeight="1" collapsed="1" thickBot="1" x14ac:dyDescent="0.3">
      <c r="A309" s="1241" t="s">
        <v>7</v>
      </c>
      <c r="B309" s="1244">
        <f>SUM(B306:B308)</f>
        <v>25</v>
      </c>
      <c r="C309" s="871">
        <f t="shared" ref="C309:J309" si="89">SUM(C306:C308)</f>
        <v>30</v>
      </c>
      <c r="D309" s="871">
        <f t="shared" si="89"/>
        <v>30</v>
      </c>
      <c r="E309" s="871">
        <f t="shared" si="89"/>
        <v>25</v>
      </c>
      <c r="F309" s="871">
        <f t="shared" si="89"/>
        <v>30</v>
      </c>
      <c r="G309" s="871">
        <f t="shared" si="89"/>
        <v>30</v>
      </c>
      <c r="H309" s="871">
        <f t="shared" si="89"/>
        <v>25</v>
      </c>
      <c r="I309" s="871">
        <f t="shared" si="89"/>
        <v>25</v>
      </c>
      <c r="J309" s="872">
        <f t="shared" si="89"/>
        <v>50</v>
      </c>
    </row>
    <row r="310" spans="1:10" ht="15.75" customHeight="1" x14ac:dyDescent="0.25"/>
    <row r="311" spans="1:10" ht="15.75" customHeight="1" x14ac:dyDescent="0.25"/>
    <row r="312" spans="1:10" ht="15.75" customHeight="1" x14ac:dyDescent="0.25"/>
    <row r="313" spans="1:10" ht="15.75" customHeight="1" x14ac:dyDescent="0.25"/>
    <row r="314" spans="1:10" ht="15.75" customHeight="1" x14ac:dyDescent="0.25"/>
    <row r="315" spans="1:10" ht="15.75" customHeight="1" x14ac:dyDescent="0.25"/>
    <row r="316" spans="1:10" ht="15.75" customHeight="1" x14ac:dyDescent="0.25"/>
    <row r="317" spans="1:10" ht="15.75" customHeight="1" x14ac:dyDescent="0.25"/>
    <row r="318" spans="1:10" ht="15.75" customHeight="1" x14ac:dyDescent="0.25"/>
    <row r="319" spans="1:10" ht="15.75" customHeight="1" x14ac:dyDescent="0.25"/>
    <row r="320" spans="1:1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sheetData>
  <sortState xmlns:xlrd2="http://schemas.microsoft.com/office/spreadsheetml/2017/richdata2" ref="L2:M6">
    <sortCondition ref="L3:L7"/>
  </sortState>
  <phoneticPr fontId="8" type="noConversion"/>
  <conditionalFormatting sqref="B118:C118 B120:C121 E118:H121 I75:J168 B75:H117 B122:H168">
    <cfRule type="cellIs" dxfId="483" priority="487" operator="equal">
      <formula>"Legendary"</formula>
    </cfRule>
    <cfRule type="cellIs" dxfId="482" priority="488" operator="equal">
      <formula>"Master"</formula>
    </cfRule>
    <cfRule type="cellIs" dxfId="481" priority="605" operator="equal">
      <formula>"Expert"</formula>
    </cfRule>
    <cfRule type="cellIs" dxfId="480" priority="606" operator="equal">
      <formula>"Trained"</formula>
    </cfRule>
  </conditionalFormatting>
  <conditionalFormatting sqref="B96:B118 B120:B168">
    <cfRule type="cellIs" dxfId="479" priority="485" operator="equal">
      <formula>"Expert"</formula>
    </cfRule>
    <cfRule type="cellIs" dxfId="478" priority="486" operator="equal">
      <formula>"Trained"</formula>
    </cfRule>
  </conditionalFormatting>
  <conditionalFormatting sqref="B282:J302">
    <cfRule type="colorScale" priority="692">
      <colorScale>
        <cfvo type="min"/>
        <cfvo type="max"/>
        <color rgb="FFFCFCFF"/>
        <color rgb="FF63BE7B"/>
      </colorScale>
    </cfRule>
  </conditionalFormatting>
  <conditionalFormatting sqref="B95:J95">
    <cfRule type="colorScale" priority="693">
      <colorScale>
        <cfvo type="min"/>
        <cfvo type="max"/>
        <color rgb="FFFCFCFF"/>
        <color rgb="FFF8696B"/>
      </colorScale>
    </cfRule>
  </conditionalFormatting>
  <conditionalFormatting sqref="C122:D135 C96:D117 C118 C120:C121">
    <cfRule type="cellIs" dxfId="477" priority="437" operator="equal">
      <formula>"Expert"</formula>
    </cfRule>
    <cfRule type="cellIs" dxfId="476" priority="438" operator="equal">
      <formula>"Trained"</formula>
    </cfRule>
  </conditionalFormatting>
  <conditionalFormatting sqref="E96:E135">
    <cfRule type="cellIs" dxfId="475" priority="435" operator="equal">
      <formula>"Expert"</formula>
    </cfRule>
    <cfRule type="cellIs" dxfId="474" priority="436" operator="equal">
      <formula>"Trained"</formula>
    </cfRule>
  </conditionalFormatting>
  <conditionalFormatting sqref="F96:F135">
    <cfRule type="cellIs" dxfId="473" priority="433" operator="equal">
      <formula>"Expert"</formula>
    </cfRule>
    <cfRule type="cellIs" dxfId="472" priority="434" operator="equal">
      <formula>"Trained"</formula>
    </cfRule>
  </conditionalFormatting>
  <conditionalFormatting sqref="G96:G135">
    <cfRule type="cellIs" dxfId="471" priority="431" operator="equal">
      <formula>"Expert"</formula>
    </cfRule>
    <cfRule type="cellIs" dxfId="470" priority="432" operator="equal">
      <formula>"Trained"</formula>
    </cfRule>
  </conditionalFormatting>
  <conditionalFormatting sqref="H96:I135">
    <cfRule type="cellIs" dxfId="469" priority="429" operator="equal">
      <formula>"Expert"</formula>
    </cfRule>
    <cfRule type="cellIs" dxfId="468" priority="430" operator="equal">
      <formula>"Trained"</formula>
    </cfRule>
  </conditionalFormatting>
  <conditionalFormatting sqref="J96:J135">
    <cfRule type="cellIs" dxfId="467" priority="427" operator="equal">
      <formula>"Expert"</formula>
    </cfRule>
    <cfRule type="cellIs" dxfId="466" priority="428" operator="equal">
      <formula>"Trained"</formula>
    </cfRule>
  </conditionalFormatting>
  <conditionalFormatting sqref="C98:D99">
    <cfRule type="cellIs" dxfId="465" priority="425" operator="equal">
      <formula>"Expert"</formula>
    </cfRule>
    <cfRule type="cellIs" dxfId="464" priority="426" operator="equal">
      <formula>"Trained"</formula>
    </cfRule>
  </conditionalFormatting>
  <conditionalFormatting sqref="E100:E101">
    <cfRule type="cellIs" dxfId="463" priority="423" operator="equal">
      <formula>"Expert"</formula>
    </cfRule>
    <cfRule type="cellIs" dxfId="462" priority="424" operator="equal">
      <formula>"Trained"</formula>
    </cfRule>
  </conditionalFormatting>
  <conditionalFormatting sqref="F126:F127">
    <cfRule type="cellIs" dxfId="461" priority="421" operator="equal">
      <formula>"Expert"</formula>
    </cfRule>
    <cfRule type="cellIs" dxfId="460" priority="422" operator="equal">
      <formula>"Trained"</formula>
    </cfRule>
  </conditionalFormatting>
  <conditionalFormatting sqref="G130:G131">
    <cfRule type="cellIs" dxfId="459" priority="419" operator="equal">
      <formula>"Expert"</formula>
    </cfRule>
    <cfRule type="cellIs" dxfId="458" priority="420" operator="equal">
      <formula>"Trained"</formula>
    </cfRule>
  </conditionalFormatting>
  <conditionalFormatting sqref="G104:G105">
    <cfRule type="cellIs" dxfId="457" priority="417" operator="equal">
      <formula>"Expert"</formula>
    </cfRule>
    <cfRule type="cellIs" dxfId="456" priority="418" operator="equal">
      <formula>"Trained"</formula>
    </cfRule>
  </conditionalFormatting>
  <conditionalFormatting sqref="G106:G107">
    <cfRule type="cellIs" dxfId="455" priority="415" operator="equal">
      <formula>"Expert"</formula>
    </cfRule>
    <cfRule type="cellIs" dxfId="454" priority="416" operator="equal">
      <formula>"Trained"</formula>
    </cfRule>
  </conditionalFormatting>
  <conditionalFormatting sqref="H96:I97">
    <cfRule type="cellIs" dxfId="453" priority="413" operator="equal">
      <formula>"Expert"</formula>
    </cfRule>
    <cfRule type="cellIs" dxfId="452" priority="414" operator="equal">
      <formula>"Trained"</formula>
    </cfRule>
  </conditionalFormatting>
  <conditionalFormatting sqref="C104:D105">
    <cfRule type="cellIs" dxfId="451" priority="411" operator="equal">
      <formula>"Expert"</formula>
    </cfRule>
    <cfRule type="cellIs" dxfId="450" priority="412" operator="equal">
      <formula>"Trained"</formula>
    </cfRule>
  </conditionalFormatting>
  <conditionalFormatting sqref="F108:F109">
    <cfRule type="cellIs" dxfId="449" priority="409" operator="equal">
      <formula>"Expert"</formula>
    </cfRule>
    <cfRule type="cellIs" dxfId="448" priority="410" operator="equal">
      <formula>"Trained"</formula>
    </cfRule>
  </conditionalFormatting>
  <conditionalFormatting sqref="G134:G135">
    <cfRule type="cellIs" dxfId="447" priority="407" operator="equal">
      <formula>"Expert"</formula>
    </cfRule>
    <cfRule type="cellIs" dxfId="446" priority="408" operator="equal">
      <formula>"Trained"</formula>
    </cfRule>
  </conditionalFormatting>
  <conditionalFormatting sqref="H108:I109">
    <cfRule type="cellIs" dxfId="445" priority="405" operator="equal">
      <formula>"Expert"</formula>
    </cfRule>
    <cfRule type="cellIs" dxfId="444" priority="406" operator="equal">
      <formula>"Trained"</formula>
    </cfRule>
  </conditionalFormatting>
  <conditionalFormatting sqref="B100:B101">
    <cfRule type="cellIs" dxfId="443" priority="403" operator="equal">
      <formula>"Expert"</formula>
    </cfRule>
    <cfRule type="cellIs" dxfId="442" priority="404" operator="equal">
      <formula>"Trained"</formula>
    </cfRule>
  </conditionalFormatting>
  <conditionalFormatting sqref="B100:B101">
    <cfRule type="cellIs" dxfId="441" priority="401" operator="equal">
      <formula>"Expert"</formula>
    </cfRule>
    <cfRule type="cellIs" dxfId="440" priority="402" operator="equal">
      <formula>"Trained"</formula>
    </cfRule>
  </conditionalFormatting>
  <conditionalFormatting sqref="C102:D103">
    <cfRule type="cellIs" dxfId="439" priority="399" operator="equal">
      <formula>"Expert"</formula>
    </cfRule>
    <cfRule type="cellIs" dxfId="438" priority="400" operator="equal">
      <formula>"Trained"</formula>
    </cfRule>
  </conditionalFormatting>
  <conditionalFormatting sqref="C118">
    <cfRule type="cellIs" dxfId="437" priority="397" operator="equal">
      <formula>"Expert"</formula>
    </cfRule>
    <cfRule type="cellIs" dxfId="436" priority="398" operator="equal">
      <formula>"Trained"</formula>
    </cfRule>
  </conditionalFormatting>
  <conditionalFormatting sqref="C124:D125">
    <cfRule type="cellIs" dxfId="435" priority="395" operator="equal">
      <formula>"Expert"</formula>
    </cfRule>
    <cfRule type="cellIs" dxfId="434" priority="396" operator="equal">
      <formula>"Trained"</formula>
    </cfRule>
  </conditionalFormatting>
  <conditionalFormatting sqref="C128:D129">
    <cfRule type="cellIs" dxfId="433" priority="393" operator="equal">
      <formula>"Expert"</formula>
    </cfRule>
    <cfRule type="cellIs" dxfId="432" priority="394" operator="equal">
      <formula>"Trained"</formula>
    </cfRule>
  </conditionalFormatting>
  <conditionalFormatting sqref="C132:D133">
    <cfRule type="cellIs" dxfId="431" priority="391" operator="equal">
      <formula>"Expert"</formula>
    </cfRule>
    <cfRule type="cellIs" dxfId="430" priority="392" operator="equal">
      <formula>"Trained"</formula>
    </cfRule>
  </conditionalFormatting>
  <conditionalFormatting sqref="C106:D107">
    <cfRule type="cellIs" dxfId="429" priority="389" operator="equal">
      <formula>"Expert"</formula>
    </cfRule>
    <cfRule type="cellIs" dxfId="428" priority="390" operator="equal">
      <formula>"Trained"</formula>
    </cfRule>
  </conditionalFormatting>
  <conditionalFormatting sqref="G96:G97">
    <cfRule type="cellIs" dxfId="427" priority="387" operator="equal">
      <formula>"Expert"</formula>
    </cfRule>
    <cfRule type="cellIs" dxfId="426" priority="388" operator="equal">
      <formula>"Trained"</formula>
    </cfRule>
  </conditionalFormatting>
  <conditionalFormatting sqref="G96:G97">
    <cfRule type="cellIs" dxfId="425" priority="385" operator="equal">
      <formula>"Expert"</formula>
    </cfRule>
    <cfRule type="cellIs" dxfId="424" priority="386" operator="equal">
      <formula>"Trained"</formula>
    </cfRule>
  </conditionalFormatting>
  <conditionalFormatting sqref="G100:G101">
    <cfRule type="cellIs" dxfId="423" priority="383" operator="equal">
      <formula>"Expert"</formula>
    </cfRule>
    <cfRule type="cellIs" dxfId="422" priority="384" operator="equal">
      <formula>"Trained"</formula>
    </cfRule>
  </conditionalFormatting>
  <conditionalFormatting sqref="G100:G101">
    <cfRule type="cellIs" dxfId="421" priority="381" operator="equal">
      <formula>"Expert"</formula>
    </cfRule>
    <cfRule type="cellIs" dxfId="420" priority="382" operator="equal">
      <formula>"Trained"</formula>
    </cfRule>
  </conditionalFormatting>
  <conditionalFormatting sqref="G109:G110">
    <cfRule type="cellIs" dxfId="419" priority="379" operator="equal">
      <formula>"Expert"</formula>
    </cfRule>
    <cfRule type="cellIs" dxfId="418" priority="380" operator="equal">
      <formula>"Trained"</formula>
    </cfRule>
  </conditionalFormatting>
  <conditionalFormatting sqref="G109:G110">
    <cfRule type="cellIs" dxfId="417" priority="377" operator="equal">
      <formula>"Expert"</formula>
    </cfRule>
    <cfRule type="cellIs" dxfId="416" priority="378" operator="equal">
      <formula>"Trained"</formula>
    </cfRule>
  </conditionalFormatting>
  <conditionalFormatting sqref="G122:G123">
    <cfRule type="cellIs" dxfId="415" priority="375" operator="equal">
      <formula>"Expert"</formula>
    </cfRule>
    <cfRule type="cellIs" dxfId="414" priority="376" operator="equal">
      <formula>"Trained"</formula>
    </cfRule>
  </conditionalFormatting>
  <conditionalFormatting sqref="G122:G123">
    <cfRule type="cellIs" dxfId="413" priority="373" operator="equal">
      <formula>"Expert"</formula>
    </cfRule>
    <cfRule type="cellIs" dxfId="412" priority="374" operator="equal">
      <formula>"Trained"</formula>
    </cfRule>
  </conditionalFormatting>
  <conditionalFormatting sqref="G124:G125">
    <cfRule type="cellIs" dxfId="411" priority="371" operator="equal">
      <formula>"Expert"</formula>
    </cfRule>
    <cfRule type="cellIs" dxfId="410" priority="372" operator="equal">
      <formula>"Trained"</formula>
    </cfRule>
  </conditionalFormatting>
  <conditionalFormatting sqref="G124:G125">
    <cfRule type="cellIs" dxfId="409" priority="369" operator="equal">
      <formula>"Expert"</formula>
    </cfRule>
    <cfRule type="cellIs" dxfId="408" priority="370" operator="equal">
      <formula>"Trained"</formula>
    </cfRule>
  </conditionalFormatting>
  <conditionalFormatting sqref="G128:G129">
    <cfRule type="cellIs" dxfId="407" priority="367" operator="equal">
      <formula>"Expert"</formula>
    </cfRule>
    <cfRule type="cellIs" dxfId="406" priority="368" operator="equal">
      <formula>"Trained"</formula>
    </cfRule>
  </conditionalFormatting>
  <conditionalFormatting sqref="G128:G129">
    <cfRule type="cellIs" dxfId="405" priority="365" operator="equal">
      <formula>"Expert"</formula>
    </cfRule>
    <cfRule type="cellIs" dxfId="404" priority="366" operator="equal">
      <formula>"Trained"</formula>
    </cfRule>
  </conditionalFormatting>
  <conditionalFormatting sqref="G132:G133">
    <cfRule type="cellIs" dxfId="403" priority="363" operator="equal">
      <formula>"Expert"</formula>
    </cfRule>
    <cfRule type="cellIs" dxfId="402" priority="364" operator="equal">
      <formula>"Trained"</formula>
    </cfRule>
  </conditionalFormatting>
  <conditionalFormatting sqref="G132:G133">
    <cfRule type="cellIs" dxfId="401" priority="361" operator="equal">
      <formula>"Expert"</formula>
    </cfRule>
    <cfRule type="cellIs" dxfId="400" priority="362" operator="equal">
      <formula>"Trained"</formula>
    </cfRule>
  </conditionalFormatting>
  <conditionalFormatting sqref="G108:G111">
    <cfRule type="cellIs" dxfId="399" priority="359" operator="equal">
      <formula>"Expert"</formula>
    </cfRule>
    <cfRule type="cellIs" dxfId="398" priority="360" operator="equal">
      <formula>"Trained"</formula>
    </cfRule>
  </conditionalFormatting>
  <conditionalFormatting sqref="G108:G109">
    <cfRule type="cellIs" dxfId="397" priority="357" operator="equal">
      <formula>"Expert"</formula>
    </cfRule>
    <cfRule type="cellIs" dxfId="396" priority="358" operator="equal">
      <formula>"Trained"</formula>
    </cfRule>
  </conditionalFormatting>
  <conditionalFormatting sqref="G108:G109">
    <cfRule type="cellIs" dxfId="395" priority="355" operator="equal">
      <formula>"Expert"</formula>
    </cfRule>
    <cfRule type="cellIs" dxfId="394" priority="356" operator="equal">
      <formula>"Trained"</formula>
    </cfRule>
  </conditionalFormatting>
  <conditionalFormatting sqref="G108:G109">
    <cfRule type="cellIs" dxfId="393" priority="353" operator="equal">
      <formula>"Expert"</formula>
    </cfRule>
    <cfRule type="cellIs" dxfId="392" priority="354" operator="equal">
      <formula>"Trained"</formula>
    </cfRule>
  </conditionalFormatting>
  <conditionalFormatting sqref="G102:G103">
    <cfRule type="cellIs" dxfId="391" priority="351" operator="equal">
      <formula>"Expert"</formula>
    </cfRule>
    <cfRule type="cellIs" dxfId="390" priority="352" operator="equal">
      <formula>"Trained"</formula>
    </cfRule>
  </conditionalFormatting>
  <conditionalFormatting sqref="G102:G103">
    <cfRule type="cellIs" dxfId="389" priority="349" operator="equal">
      <formula>"Expert"</formula>
    </cfRule>
    <cfRule type="cellIs" dxfId="388" priority="350" operator="equal">
      <formula>"Trained"</formula>
    </cfRule>
  </conditionalFormatting>
  <conditionalFormatting sqref="E137:E138">
    <cfRule type="cellIs" dxfId="387" priority="347" operator="equal">
      <formula>"Expert"</formula>
    </cfRule>
    <cfRule type="cellIs" dxfId="386" priority="348" operator="equal">
      <formula>"Trained"</formula>
    </cfRule>
  </conditionalFormatting>
  <conditionalFormatting sqref="E139:E140">
    <cfRule type="cellIs" dxfId="385" priority="345" operator="equal">
      <formula>"Expert"</formula>
    </cfRule>
    <cfRule type="cellIs" dxfId="384" priority="346" operator="equal">
      <formula>"Trained"</formula>
    </cfRule>
  </conditionalFormatting>
  <conditionalFormatting sqref="E154:E161">
    <cfRule type="cellIs" dxfId="383" priority="343" operator="equal">
      <formula>"Expert"</formula>
    </cfRule>
    <cfRule type="cellIs" dxfId="382" priority="344" operator="equal">
      <formula>"Trained"</formula>
    </cfRule>
  </conditionalFormatting>
  <conditionalFormatting sqref="F137:F138">
    <cfRule type="cellIs" dxfId="381" priority="341" operator="equal">
      <formula>"Expert"</formula>
    </cfRule>
    <cfRule type="cellIs" dxfId="380" priority="342" operator="equal">
      <formula>"Trained"</formula>
    </cfRule>
  </conditionalFormatting>
  <conditionalFormatting sqref="G137:G138">
    <cfRule type="cellIs" dxfId="379" priority="339" operator="equal">
      <formula>"Expert"</formula>
    </cfRule>
    <cfRule type="cellIs" dxfId="378" priority="340" operator="equal">
      <formula>"Trained"</formula>
    </cfRule>
  </conditionalFormatting>
  <conditionalFormatting sqref="E165:E166">
    <cfRule type="cellIs" dxfId="377" priority="337" operator="equal">
      <formula>"Expert"</formula>
    </cfRule>
    <cfRule type="cellIs" dxfId="376" priority="338" operator="equal">
      <formula>"Trained"</formula>
    </cfRule>
  </conditionalFormatting>
  <conditionalFormatting sqref="E167:E168">
    <cfRule type="cellIs" dxfId="375" priority="335" operator="equal">
      <formula>"Expert"</formula>
    </cfRule>
    <cfRule type="cellIs" dxfId="374" priority="336" operator="equal">
      <formula>"Trained"</formula>
    </cfRule>
  </conditionalFormatting>
  <conditionalFormatting sqref="G165:G166">
    <cfRule type="cellIs" dxfId="373" priority="333" operator="equal">
      <formula>"Expert"</formula>
    </cfRule>
    <cfRule type="cellIs" dxfId="372" priority="334" operator="equal">
      <formula>"Trained"</formula>
    </cfRule>
  </conditionalFormatting>
  <conditionalFormatting sqref="H165:I166">
    <cfRule type="cellIs" dxfId="371" priority="331" operator="equal">
      <formula>"Expert"</formula>
    </cfRule>
    <cfRule type="cellIs" dxfId="370" priority="332" operator="equal">
      <formula>"Trained"</formula>
    </cfRule>
  </conditionalFormatting>
  <conditionalFormatting sqref="J163:J164">
    <cfRule type="cellIs" dxfId="369" priority="329" operator="equal">
      <formula>"Expert"</formula>
    </cfRule>
    <cfRule type="cellIs" dxfId="368" priority="330" operator="equal">
      <formula>"Trained"</formula>
    </cfRule>
  </conditionalFormatting>
  <conditionalFormatting sqref="J165:J166">
    <cfRule type="cellIs" dxfId="367" priority="327" operator="equal">
      <formula>"Expert"</formula>
    </cfRule>
    <cfRule type="cellIs" dxfId="366" priority="328" operator="equal">
      <formula>"Trained"</formula>
    </cfRule>
  </conditionalFormatting>
  <conditionalFormatting sqref="H167:I168">
    <cfRule type="cellIs" dxfId="365" priority="325" operator="equal">
      <formula>"Expert"</formula>
    </cfRule>
    <cfRule type="cellIs" dxfId="364" priority="326" operator="equal">
      <formula>"Trained"</formula>
    </cfRule>
  </conditionalFormatting>
  <conditionalFormatting sqref="G167:G168">
    <cfRule type="cellIs" dxfId="363" priority="323" operator="equal">
      <formula>"Expert"</formula>
    </cfRule>
    <cfRule type="cellIs" dxfId="362" priority="324" operator="equal">
      <formula>"Trained"</formula>
    </cfRule>
  </conditionalFormatting>
  <conditionalFormatting sqref="J167:J168">
    <cfRule type="cellIs" dxfId="361" priority="321" operator="equal">
      <formula>"Expert"</formula>
    </cfRule>
    <cfRule type="cellIs" dxfId="360" priority="322" operator="equal">
      <formula>"Trained"</formula>
    </cfRule>
  </conditionalFormatting>
  <conditionalFormatting sqref="B118">
    <cfRule type="cellIs" dxfId="359" priority="319" operator="equal">
      <formula>"Expert"</formula>
    </cfRule>
    <cfRule type="cellIs" dxfId="358" priority="320" operator="equal">
      <formula>"Trained"</formula>
    </cfRule>
  </conditionalFormatting>
  <conditionalFormatting sqref="B118">
    <cfRule type="cellIs" dxfId="357" priority="317" operator="equal">
      <formula>"Expert"</formula>
    </cfRule>
    <cfRule type="cellIs" dxfId="356" priority="318" operator="equal">
      <formula>"Trained"</formula>
    </cfRule>
  </conditionalFormatting>
  <conditionalFormatting sqref="F96:F97">
    <cfRule type="cellIs" dxfId="355" priority="315" operator="equal">
      <formula>"Expert"</formula>
    </cfRule>
    <cfRule type="cellIs" dxfId="354" priority="316" operator="equal">
      <formula>"Trained"</formula>
    </cfRule>
  </conditionalFormatting>
  <conditionalFormatting sqref="F96:F97">
    <cfRule type="cellIs" dxfId="353" priority="313" operator="equal">
      <formula>"Expert"</formula>
    </cfRule>
    <cfRule type="cellIs" dxfId="352" priority="314" operator="equal">
      <formula>"Trained"</formula>
    </cfRule>
  </conditionalFormatting>
  <conditionalFormatting sqref="F96:F97">
    <cfRule type="cellIs" dxfId="351" priority="311" operator="equal">
      <formula>"Expert"</formula>
    </cfRule>
    <cfRule type="cellIs" dxfId="350" priority="312" operator="equal">
      <formula>"Trained"</formula>
    </cfRule>
  </conditionalFormatting>
  <conditionalFormatting sqref="F106:F107">
    <cfRule type="cellIs" dxfId="349" priority="309" operator="equal">
      <formula>"Expert"</formula>
    </cfRule>
    <cfRule type="cellIs" dxfId="348" priority="310" operator="equal">
      <formula>"Trained"</formula>
    </cfRule>
  </conditionalFormatting>
  <conditionalFormatting sqref="F106:F107">
    <cfRule type="cellIs" dxfId="347" priority="307" operator="equal">
      <formula>"Expert"</formula>
    </cfRule>
    <cfRule type="cellIs" dxfId="346" priority="308" operator="equal">
      <formula>"Trained"</formula>
    </cfRule>
  </conditionalFormatting>
  <conditionalFormatting sqref="F106:F107">
    <cfRule type="cellIs" dxfId="345" priority="305" operator="equal">
      <formula>"Expert"</formula>
    </cfRule>
    <cfRule type="cellIs" dxfId="344" priority="306" operator="equal">
      <formula>"Trained"</formula>
    </cfRule>
  </conditionalFormatting>
  <conditionalFormatting sqref="F132:F133">
    <cfRule type="cellIs" dxfId="343" priority="303" operator="equal">
      <formula>"Expert"</formula>
    </cfRule>
    <cfRule type="cellIs" dxfId="342" priority="304" operator="equal">
      <formula>"Trained"</formula>
    </cfRule>
  </conditionalFormatting>
  <conditionalFormatting sqref="F132:F133">
    <cfRule type="cellIs" dxfId="341" priority="301" operator="equal">
      <formula>"Expert"</formula>
    </cfRule>
    <cfRule type="cellIs" dxfId="340" priority="302" operator="equal">
      <formula>"Trained"</formula>
    </cfRule>
  </conditionalFormatting>
  <conditionalFormatting sqref="F132:F133">
    <cfRule type="cellIs" dxfId="339" priority="299" operator="equal">
      <formula>"Expert"</formula>
    </cfRule>
    <cfRule type="cellIs" dxfId="338" priority="300" operator="equal">
      <formula>"Trained"</formula>
    </cfRule>
  </conditionalFormatting>
  <conditionalFormatting sqref="F118:F119">
    <cfRule type="cellIs" dxfId="337" priority="297" operator="equal">
      <formula>"Expert"</formula>
    </cfRule>
    <cfRule type="cellIs" dxfId="336" priority="298" operator="equal">
      <formula>"Trained"</formula>
    </cfRule>
  </conditionalFormatting>
  <conditionalFormatting sqref="E96:E97">
    <cfRule type="cellIs" dxfId="335" priority="295" operator="equal">
      <formula>"Expert"</formula>
    </cfRule>
    <cfRule type="cellIs" dxfId="334" priority="296" operator="equal">
      <formula>"Trained"</formula>
    </cfRule>
  </conditionalFormatting>
  <conditionalFormatting sqref="E96:E97">
    <cfRule type="cellIs" dxfId="333" priority="293" operator="equal">
      <formula>"Expert"</formula>
    </cfRule>
    <cfRule type="cellIs" dxfId="332" priority="294" operator="equal">
      <formula>"Trained"</formula>
    </cfRule>
  </conditionalFormatting>
  <conditionalFormatting sqref="E130:E131">
    <cfRule type="cellIs" dxfId="331" priority="291" operator="equal">
      <formula>"Expert"</formula>
    </cfRule>
    <cfRule type="cellIs" dxfId="330" priority="292" operator="equal">
      <formula>"Trained"</formula>
    </cfRule>
  </conditionalFormatting>
  <conditionalFormatting sqref="E130:E131">
    <cfRule type="cellIs" dxfId="329" priority="289" operator="equal">
      <formula>"Expert"</formula>
    </cfRule>
    <cfRule type="cellIs" dxfId="328" priority="290" operator="equal">
      <formula>"Trained"</formula>
    </cfRule>
  </conditionalFormatting>
  <conditionalFormatting sqref="E130:E131">
    <cfRule type="cellIs" dxfId="327" priority="287" operator="equal">
      <formula>"Expert"</formula>
    </cfRule>
    <cfRule type="cellIs" dxfId="326" priority="288" operator="equal">
      <formula>"Trained"</formula>
    </cfRule>
  </conditionalFormatting>
  <conditionalFormatting sqref="E130:E131">
    <cfRule type="cellIs" dxfId="325" priority="285" operator="equal">
      <formula>"Expert"</formula>
    </cfRule>
    <cfRule type="cellIs" dxfId="324" priority="286" operator="equal">
      <formula>"Trained"</formula>
    </cfRule>
  </conditionalFormatting>
  <conditionalFormatting sqref="E132:E133">
    <cfRule type="cellIs" dxfId="323" priority="283" operator="equal">
      <formula>"Expert"</formula>
    </cfRule>
    <cfRule type="cellIs" dxfId="322" priority="284" operator="equal">
      <formula>"Trained"</formula>
    </cfRule>
  </conditionalFormatting>
  <conditionalFormatting sqref="E132:E133">
    <cfRule type="cellIs" dxfId="321" priority="281" operator="equal">
      <formula>"Expert"</formula>
    </cfRule>
    <cfRule type="cellIs" dxfId="320" priority="282" operator="equal">
      <formula>"Trained"</formula>
    </cfRule>
  </conditionalFormatting>
  <conditionalFormatting sqref="E132:E133">
    <cfRule type="cellIs" dxfId="319" priority="279" operator="equal">
      <formula>"Expert"</formula>
    </cfRule>
    <cfRule type="cellIs" dxfId="318" priority="280" operator="equal">
      <formula>"Trained"</formula>
    </cfRule>
  </conditionalFormatting>
  <conditionalFormatting sqref="E132:E133">
    <cfRule type="cellIs" dxfId="317" priority="277" operator="equal">
      <formula>"Expert"</formula>
    </cfRule>
    <cfRule type="cellIs" dxfId="316" priority="278" operator="equal">
      <formula>"Trained"</formula>
    </cfRule>
  </conditionalFormatting>
  <conditionalFormatting sqref="E134:E135">
    <cfRule type="cellIs" dxfId="315" priority="275" operator="equal">
      <formula>"Expert"</formula>
    </cfRule>
    <cfRule type="cellIs" dxfId="314" priority="276" operator="equal">
      <formula>"Trained"</formula>
    </cfRule>
  </conditionalFormatting>
  <conditionalFormatting sqref="E134:E135">
    <cfRule type="cellIs" dxfId="313" priority="273" operator="equal">
      <formula>"Expert"</formula>
    </cfRule>
    <cfRule type="cellIs" dxfId="312" priority="274" operator="equal">
      <formula>"Trained"</formula>
    </cfRule>
  </conditionalFormatting>
  <conditionalFormatting sqref="E134:E135">
    <cfRule type="cellIs" dxfId="311" priority="271" operator="equal">
      <formula>"Expert"</formula>
    </cfRule>
    <cfRule type="cellIs" dxfId="310" priority="272" operator="equal">
      <formula>"Trained"</formula>
    </cfRule>
  </conditionalFormatting>
  <conditionalFormatting sqref="E134:E135">
    <cfRule type="cellIs" dxfId="309" priority="269" operator="equal">
      <formula>"Expert"</formula>
    </cfRule>
    <cfRule type="cellIs" dxfId="308" priority="270" operator="equal">
      <formula>"Trained"</formula>
    </cfRule>
  </conditionalFormatting>
  <conditionalFormatting sqref="E102:E103">
    <cfRule type="cellIs" dxfId="307" priority="267" operator="equal">
      <formula>"Expert"</formula>
    </cfRule>
    <cfRule type="cellIs" dxfId="306" priority="268" operator="equal">
      <formula>"Trained"</formula>
    </cfRule>
  </conditionalFormatting>
  <conditionalFormatting sqref="E102:E103">
    <cfRule type="cellIs" dxfId="305" priority="265" operator="equal">
      <formula>"Expert"</formula>
    </cfRule>
    <cfRule type="cellIs" dxfId="304" priority="266" operator="equal">
      <formula>"Trained"</formula>
    </cfRule>
  </conditionalFormatting>
  <conditionalFormatting sqref="E102:E103">
    <cfRule type="cellIs" dxfId="303" priority="263" operator="equal">
      <formula>"Expert"</formula>
    </cfRule>
    <cfRule type="cellIs" dxfId="302" priority="264" operator="equal">
      <formula>"Trained"</formula>
    </cfRule>
  </conditionalFormatting>
  <conditionalFormatting sqref="E102:E103">
    <cfRule type="cellIs" dxfId="301" priority="261" operator="equal">
      <formula>"Expert"</formula>
    </cfRule>
    <cfRule type="cellIs" dxfId="300" priority="262" operator="equal">
      <formula>"Trained"</formula>
    </cfRule>
  </conditionalFormatting>
  <conditionalFormatting sqref="H100:I101">
    <cfRule type="cellIs" dxfId="299" priority="259" operator="equal">
      <formula>"Expert"</formula>
    </cfRule>
    <cfRule type="cellIs" dxfId="298" priority="260" operator="equal">
      <formula>"Trained"</formula>
    </cfRule>
  </conditionalFormatting>
  <conditionalFormatting sqref="H100:I101">
    <cfRule type="cellIs" dxfId="297" priority="257" operator="equal">
      <formula>"Expert"</formula>
    </cfRule>
    <cfRule type="cellIs" dxfId="296" priority="258" operator="equal">
      <formula>"Trained"</formula>
    </cfRule>
  </conditionalFormatting>
  <conditionalFormatting sqref="H100:I101">
    <cfRule type="cellIs" dxfId="295" priority="255" operator="equal">
      <formula>"Expert"</formula>
    </cfRule>
    <cfRule type="cellIs" dxfId="294" priority="256" operator="equal">
      <formula>"Trained"</formula>
    </cfRule>
  </conditionalFormatting>
  <conditionalFormatting sqref="H130:I131">
    <cfRule type="cellIs" dxfId="293" priority="253" operator="equal">
      <formula>"Expert"</formula>
    </cfRule>
    <cfRule type="cellIs" dxfId="292" priority="254" operator="equal">
      <formula>"Trained"</formula>
    </cfRule>
  </conditionalFormatting>
  <conditionalFormatting sqref="H130:I131">
    <cfRule type="cellIs" dxfId="291" priority="251" operator="equal">
      <formula>"Expert"</formula>
    </cfRule>
    <cfRule type="cellIs" dxfId="290" priority="252" operator="equal">
      <formula>"Trained"</formula>
    </cfRule>
  </conditionalFormatting>
  <conditionalFormatting sqref="H130:I131">
    <cfRule type="cellIs" dxfId="289" priority="249" operator="equal">
      <formula>"Expert"</formula>
    </cfRule>
    <cfRule type="cellIs" dxfId="288" priority="250" operator="equal">
      <formula>"Trained"</formula>
    </cfRule>
  </conditionalFormatting>
  <conditionalFormatting sqref="H132:I133">
    <cfRule type="cellIs" dxfId="287" priority="247" operator="equal">
      <formula>"Expert"</formula>
    </cfRule>
    <cfRule type="cellIs" dxfId="286" priority="248" operator="equal">
      <formula>"Trained"</formula>
    </cfRule>
  </conditionalFormatting>
  <conditionalFormatting sqref="H132:I133">
    <cfRule type="cellIs" dxfId="285" priority="245" operator="equal">
      <formula>"Expert"</formula>
    </cfRule>
    <cfRule type="cellIs" dxfId="284" priority="246" operator="equal">
      <formula>"Trained"</formula>
    </cfRule>
  </conditionalFormatting>
  <conditionalFormatting sqref="H132:I133">
    <cfRule type="cellIs" dxfId="283" priority="243" operator="equal">
      <formula>"Expert"</formula>
    </cfRule>
    <cfRule type="cellIs" dxfId="282" priority="244" operator="equal">
      <formula>"Trained"</formula>
    </cfRule>
  </conditionalFormatting>
  <conditionalFormatting sqref="G167:G168">
    <cfRule type="cellIs" dxfId="281" priority="241" operator="equal">
      <formula>"Expert"</formula>
    </cfRule>
    <cfRule type="cellIs" dxfId="280" priority="242" operator="equal">
      <formula>"Trained"</formula>
    </cfRule>
  </conditionalFormatting>
  <conditionalFormatting sqref="A119:B119">
    <cfRule type="cellIs" dxfId="279" priority="237" operator="equal">
      <formula>"Legendary"</formula>
    </cfRule>
    <cfRule type="cellIs" dxfId="278" priority="238" operator="equal">
      <formula>"Master"</formula>
    </cfRule>
    <cfRule type="cellIs" dxfId="277" priority="239" operator="equal">
      <formula>"Expert"</formula>
    </cfRule>
    <cfRule type="cellIs" dxfId="276" priority="240" operator="equal">
      <formula>"Trained"</formula>
    </cfRule>
  </conditionalFormatting>
  <conditionalFormatting sqref="A119:B119">
    <cfRule type="cellIs" dxfId="275" priority="235" operator="equal">
      <formula>"Expert"</formula>
    </cfRule>
    <cfRule type="cellIs" dxfId="274" priority="236" operator="equal">
      <formula>"Trained"</formula>
    </cfRule>
  </conditionalFormatting>
  <conditionalFormatting sqref="D110:D117">
    <cfRule type="cellIs" dxfId="273" priority="233" operator="equal">
      <formula>"Expert"</formula>
    </cfRule>
    <cfRule type="cellIs" dxfId="272" priority="234" operator="equal">
      <formula>"Trained"</formula>
    </cfRule>
  </conditionalFormatting>
  <conditionalFormatting sqref="D137:D138">
    <cfRule type="cellIs" dxfId="271" priority="231" operator="equal">
      <formula>"Expert"</formula>
    </cfRule>
    <cfRule type="cellIs" dxfId="270" priority="232" operator="equal">
      <formula>"Trained"</formula>
    </cfRule>
  </conditionalFormatting>
  <conditionalFormatting sqref="D154:D155">
    <cfRule type="cellIs" dxfId="269" priority="229" operator="equal">
      <formula>"Expert"</formula>
    </cfRule>
    <cfRule type="cellIs" dxfId="268" priority="230" operator="equal">
      <formula>"Trained"</formula>
    </cfRule>
  </conditionalFormatting>
  <conditionalFormatting sqref="D120:D121">
    <cfRule type="cellIs" dxfId="267" priority="225" operator="equal">
      <formula>"Legendary"</formula>
    </cfRule>
    <cfRule type="cellIs" dxfId="266" priority="226" operator="equal">
      <formula>"Master"</formula>
    </cfRule>
    <cfRule type="cellIs" dxfId="265" priority="227" operator="equal">
      <formula>"Expert"</formula>
    </cfRule>
    <cfRule type="cellIs" dxfId="264" priority="228" operator="equal">
      <formula>"Trained"</formula>
    </cfRule>
  </conditionalFormatting>
  <conditionalFormatting sqref="D120:D121">
    <cfRule type="cellIs" dxfId="263" priority="223" operator="equal">
      <formula>"Expert"</formula>
    </cfRule>
    <cfRule type="cellIs" dxfId="262" priority="224" operator="equal">
      <formula>"Trained"</formula>
    </cfRule>
  </conditionalFormatting>
  <conditionalFormatting sqref="D126:D129">
    <cfRule type="cellIs" dxfId="261" priority="221" operator="equal">
      <formula>"Expert"</formula>
    </cfRule>
    <cfRule type="cellIs" dxfId="260" priority="222" operator="equal">
      <formula>"Trained"</formula>
    </cfRule>
  </conditionalFormatting>
  <conditionalFormatting sqref="D130:D133">
    <cfRule type="cellIs" dxfId="259" priority="219" operator="equal">
      <formula>"Expert"</formula>
    </cfRule>
    <cfRule type="cellIs" dxfId="258" priority="220" operator="equal">
      <formula>"Trained"</formula>
    </cfRule>
  </conditionalFormatting>
  <conditionalFormatting sqref="D132:D135">
    <cfRule type="cellIs" dxfId="257" priority="217" operator="equal">
      <formula>"Expert"</formula>
    </cfRule>
    <cfRule type="cellIs" dxfId="256" priority="218" operator="equal">
      <formula>"Trained"</formula>
    </cfRule>
  </conditionalFormatting>
  <conditionalFormatting sqref="D96:D99">
    <cfRule type="cellIs" dxfId="255" priority="215" operator="equal">
      <formula>"Expert"</formula>
    </cfRule>
    <cfRule type="cellIs" dxfId="254" priority="216" operator="equal">
      <formula>"Trained"</formula>
    </cfRule>
  </conditionalFormatting>
  <conditionalFormatting sqref="D100:D103">
    <cfRule type="cellIs" dxfId="253" priority="213" operator="equal">
      <formula>"Expert"</formula>
    </cfRule>
    <cfRule type="cellIs" dxfId="252" priority="214" operator="equal">
      <formula>"Trained"</formula>
    </cfRule>
  </conditionalFormatting>
  <conditionalFormatting sqref="D104:D107">
    <cfRule type="cellIs" dxfId="251" priority="211" operator="equal">
      <formula>"Expert"</formula>
    </cfRule>
    <cfRule type="cellIs" dxfId="250" priority="212" operator="equal">
      <formula>"Trained"</formula>
    </cfRule>
  </conditionalFormatting>
  <conditionalFormatting sqref="D106:D109">
    <cfRule type="cellIs" dxfId="249" priority="209" operator="equal">
      <formula>"Expert"</formula>
    </cfRule>
    <cfRule type="cellIs" dxfId="248" priority="210" operator="equal">
      <formula>"Trained"</formula>
    </cfRule>
  </conditionalFormatting>
  <conditionalFormatting sqref="D102:D103">
    <cfRule type="cellIs" dxfId="247" priority="207" operator="equal">
      <formula>"Expert"</formula>
    </cfRule>
    <cfRule type="cellIs" dxfId="246" priority="208" operator="equal">
      <formula>"Trained"</formula>
    </cfRule>
  </conditionalFormatting>
  <conditionalFormatting sqref="D102:D103">
    <cfRule type="cellIs" dxfId="245" priority="205" operator="equal">
      <formula>"Expert"</formula>
    </cfRule>
    <cfRule type="cellIs" dxfId="244" priority="206" operator="equal">
      <formula>"Trained"</formula>
    </cfRule>
  </conditionalFormatting>
  <conditionalFormatting sqref="D102:D103">
    <cfRule type="cellIs" dxfId="243" priority="203" operator="equal">
      <formula>"Expert"</formula>
    </cfRule>
    <cfRule type="cellIs" dxfId="242" priority="204" operator="equal">
      <formula>"Trained"</formula>
    </cfRule>
  </conditionalFormatting>
  <conditionalFormatting sqref="D100:D101">
    <cfRule type="cellIs" dxfId="241" priority="201" operator="equal">
      <formula>"Expert"</formula>
    </cfRule>
    <cfRule type="cellIs" dxfId="240" priority="202" operator="equal">
      <formula>"Trained"</formula>
    </cfRule>
  </conditionalFormatting>
  <conditionalFormatting sqref="D100:D101">
    <cfRule type="cellIs" dxfId="239" priority="199" operator="equal">
      <formula>"Expert"</formula>
    </cfRule>
    <cfRule type="cellIs" dxfId="238" priority="200" operator="equal">
      <formula>"Trained"</formula>
    </cfRule>
  </conditionalFormatting>
  <conditionalFormatting sqref="D100:D101">
    <cfRule type="cellIs" dxfId="237" priority="197" operator="equal">
      <formula>"Expert"</formula>
    </cfRule>
    <cfRule type="cellIs" dxfId="236" priority="198" operator="equal">
      <formula>"Trained"</formula>
    </cfRule>
  </conditionalFormatting>
  <conditionalFormatting sqref="D100:D101">
    <cfRule type="cellIs" dxfId="235" priority="195" operator="equal">
      <formula>"Expert"</formula>
    </cfRule>
    <cfRule type="cellIs" dxfId="234" priority="196" operator="equal">
      <formula>"Trained"</formula>
    </cfRule>
  </conditionalFormatting>
  <conditionalFormatting sqref="D100:D101">
    <cfRule type="cellIs" dxfId="233" priority="193" operator="equal">
      <formula>"Expert"</formula>
    </cfRule>
    <cfRule type="cellIs" dxfId="232" priority="194" operator="equal">
      <formula>"Trained"</formula>
    </cfRule>
  </conditionalFormatting>
  <conditionalFormatting sqref="D106:D107">
    <cfRule type="cellIs" dxfId="231" priority="191" operator="equal">
      <formula>"Expert"</formula>
    </cfRule>
    <cfRule type="cellIs" dxfId="230" priority="192" operator="equal">
      <formula>"Trained"</formula>
    </cfRule>
  </conditionalFormatting>
  <conditionalFormatting sqref="D106:D107">
    <cfRule type="cellIs" dxfId="229" priority="189" operator="equal">
      <formula>"Expert"</formula>
    </cfRule>
    <cfRule type="cellIs" dxfId="228" priority="190" operator="equal">
      <formula>"Trained"</formula>
    </cfRule>
  </conditionalFormatting>
  <conditionalFormatting sqref="D106:D107">
    <cfRule type="cellIs" dxfId="227" priority="187" operator="equal">
      <formula>"Expert"</formula>
    </cfRule>
    <cfRule type="cellIs" dxfId="226" priority="188" operator="equal">
      <formula>"Trained"</formula>
    </cfRule>
  </conditionalFormatting>
  <conditionalFormatting sqref="D106:D107">
    <cfRule type="cellIs" dxfId="225" priority="185" operator="equal">
      <formula>"Expert"</formula>
    </cfRule>
    <cfRule type="cellIs" dxfId="224" priority="186" operator="equal">
      <formula>"Trained"</formula>
    </cfRule>
  </conditionalFormatting>
  <conditionalFormatting sqref="D106:D107">
    <cfRule type="cellIs" dxfId="223" priority="183" operator="equal">
      <formula>"Expert"</formula>
    </cfRule>
    <cfRule type="cellIs" dxfId="222" priority="184" operator="equal">
      <formula>"Trained"</formula>
    </cfRule>
  </conditionalFormatting>
  <conditionalFormatting sqref="D108:D109">
    <cfRule type="cellIs" dxfId="221" priority="181" operator="equal">
      <formula>"Expert"</formula>
    </cfRule>
    <cfRule type="cellIs" dxfId="220" priority="182" operator="equal">
      <formula>"Trained"</formula>
    </cfRule>
  </conditionalFormatting>
  <conditionalFormatting sqref="D108:D109">
    <cfRule type="cellIs" dxfId="219" priority="179" operator="equal">
      <formula>"Expert"</formula>
    </cfRule>
    <cfRule type="cellIs" dxfId="218" priority="180" operator="equal">
      <formula>"Trained"</formula>
    </cfRule>
  </conditionalFormatting>
  <conditionalFormatting sqref="D108:D109">
    <cfRule type="cellIs" dxfId="217" priority="177" operator="equal">
      <formula>"Expert"</formula>
    </cfRule>
    <cfRule type="cellIs" dxfId="216" priority="178" operator="equal">
      <formula>"Trained"</formula>
    </cfRule>
  </conditionalFormatting>
  <conditionalFormatting sqref="D108:D109">
    <cfRule type="cellIs" dxfId="215" priority="175" operator="equal">
      <formula>"Expert"</formula>
    </cfRule>
    <cfRule type="cellIs" dxfId="214" priority="176" operator="equal">
      <formula>"Trained"</formula>
    </cfRule>
  </conditionalFormatting>
  <conditionalFormatting sqref="D108:D109">
    <cfRule type="cellIs" dxfId="213" priority="173" operator="equal">
      <formula>"Expert"</formula>
    </cfRule>
    <cfRule type="cellIs" dxfId="212" priority="174" operator="equal">
      <formula>"Trained"</formula>
    </cfRule>
  </conditionalFormatting>
  <conditionalFormatting sqref="D128:D129">
    <cfRule type="cellIs" dxfId="211" priority="171" operator="equal">
      <formula>"Expert"</formula>
    </cfRule>
    <cfRule type="cellIs" dxfId="210" priority="172" operator="equal">
      <formula>"Trained"</formula>
    </cfRule>
  </conditionalFormatting>
  <conditionalFormatting sqref="D128:D129">
    <cfRule type="cellIs" dxfId="209" priority="169" operator="equal">
      <formula>"Expert"</formula>
    </cfRule>
    <cfRule type="cellIs" dxfId="208" priority="170" operator="equal">
      <formula>"Trained"</formula>
    </cfRule>
  </conditionalFormatting>
  <conditionalFormatting sqref="D128:D129">
    <cfRule type="cellIs" dxfId="207" priority="167" operator="equal">
      <formula>"Expert"</formula>
    </cfRule>
    <cfRule type="cellIs" dxfId="206" priority="168" operator="equal">
      <formula>"Trained"</formula>
    </cfRule>
  </conditionalFormatting>
  <conditionalFormatting sqref="D128:D129">
    <cfRule type="cellIs" dxfId="205" priority="165" operator="equal">
      <formula>"Expert"</formula>
    </cfRule>
    <cfRule type="cellIs" dxfId="204" priority="166" operator="equal">
      <formula>"Trained"</formula>
    </cfRule>
  </conditionalFormatting>
  <conditionalFormatting sqref="D128:D129">
    <cfRule type="cellIs" dxfId="203" priority="163" operator="equal">
      <formula>"Expert"</formula>
    </cfRule>
    <cfRule type="cellIs" dxfId="202" priority="164" operator="equal">
      <formula>"Trained"</formula>
    </cfRule>
  </conditionalFormatting>
  <conditionalFormatting sqref="D118:D119">
    <cfRule type="cellIs" dxfId="201" priority="159" operator="equal">
      <formula>"Legendary"</formula>
    </cfRule>
    <cfRule type="cellIs" dxfId="200" priority="160" operator="equal">
      <formula>"Master"</formula>
    </cfRule>
    <cfRule type="cellIs" dxfId="199" priority="161" operator="equal">
      <formula>"Expert"</formula>
    </cfRule>
    <cfRule type="cellIs" dxfId="198" priority="162" operator="equal">
      <formula>"Trained"</formula>
    </cfRule>
  </conditionalFormatting>
  <conditionalFormatting sqref="D118:D119">
    <cfRule type="cellIs" dxfId="197" priority="157" operator="equal">
      <formula>"Expert"</formula>
    </cfRule>
    <cfRule type="cellIs" dxfId="196" priority="158" operator="equal">
      <formula>"Trained"</formula>
    </cfRule>
  </conditionalFormatting>
  <conditionalFormatting sqref="D118:D119">
    <cfRule type="cellIs" dxfId="195" priority="155" operator="equal">
      <formula>"Expert"</formula>
    </cfRule>
    <cfRule type="cellIs" dxfId="194" priority="156" operator="equal">
      <formula>"Trained"</formula>
    </cfRule>
  </conditionalFormatting>
  <conditionalFormatting sqref="D118:D119">
    <cfRule type="cellIs" dxfId="193" priority="153" operator="equal">
      <formula>"Expert"</formula>
    </cfRule>
    <cfRule type="cellIs" dxfId="192" priority="154" operator="equal">
      <formula>"Trained"</formula>
    </cfRule>
  </conditionalFormatting>
  <conditionalFormatting sqref="D118:D119">
    <cfRule type="cellIs" dxfId="191" priority="151" operator="equal">
      <formula>"Expert"</formula>
    </cfRule>
    <cfRule type="cellIs" dxfId="190" priority="152" operator="equal">
      <formula>"Trained"</formula>
    </cfRule>
  </conditionalFormatting>
  <conditionalFormatting sqref="D118:D119">
    <cfRule type="cellIs" dxfId="189" priority="149" operator="equal">
      <formula>"Expert"</formula>
    </cfRule>
    <cfRule type="cellIs" dxfId="188" priority="150" operator="equal">
      <formula>"Trained"</formula>
    </cfRule>
  </conditionalFormatting>
  <conditionalFormatting sqref="G106">
    <cfRule type="cellIs" dxfId="187" priority="147" operator="equal">
      <formula>"Expert"</formula>
    </cfRule>
    <cfRule type="cellIs" dxfId="186" priority="148" operator="equal">
      <formula>"Trained"</formula>
    </cfRule>
  </conditionalFormatting>
  <conditionalFormatting sqref="I137:I138">
    <cfRule type="cellIs" dxfId="185" priority="145" operator="equal">
      <formula>"Expert"</formula>
    </cfRule>
    <cfRule type="cellIs" dxfId="184" priority="146" operator="equal">
      <formula>"Trained"</formula>
    </cfRule>
  </conditionalFormatting>
  <conditionalFormatting sqref="I130:I131">
    <cfRule type="cellIs" dxfId="183" priority="143" operator="equal">
      <formula>"Expert"</formula>
    </cfRule>
    <cfRule type="cellIs" dxfId="182" priority="144" operator="equal">
      <formula>"Trained"</formula>
    </cfRule>
  </conditionalFormatting>
  <conditionalFormatting sqref="I130:I131">
    <cfRule type="cellIs" dxfId="181" priority="141" operator="equal">
      <formula>"Expert"</formula>
    </cfRule>
    <cfRule type="cellIs" dxfId="180" priority="142" operator="equal">
      <formula>"Trained"</formula>
    </cfRule>
  </conditionalFormatting>
  <conditionalFormatting sqref="I134:I135">
    <cfRule type="cellIs" dxfId="179" priority="139" operator="equal">
      <formula>"Expert"</formula>
    </cfRule>
    <cfRule type="cellIs" dxfId="178" priority="140" operator="equal">
      <formula>"Trained"</formula>
    </cfRule>
  </conditionalFormatting>
  <conditionalFormatting sqref="I134:I135">
    <cfRule type="cellIs" dxfId="177" priority="137" operator="equal">
      <formula>"Expert"</formula>
    </cfRule>
    <cfRule type="cellIs" dxfId="176" priority="138" operator="equal">
      <formula>"Trained"</formula>
    </cfRule>
  </conditionalFormatting>
  <conditionalFormatting sqref="I104:I105">
    <cfRule type="cellIs" dxfId="175" priority="135" operator="equal">
      <formula>"Expert"</formula>
    </cfRule>
    <cfRule type="cellIs" dxfId="174" priority="136" operator="equal">
      <formula>"Trained"</formula>
    </cfRule>
  </conditionalFormatting>
  <conditionalFormatting sqref="I104:I105">
    <cfRule type="cellIs" dxfId="173" priority="133" operator="equal">
      <formula>"Expert"</formula>
    </cfRule>
    <cfRule type="cellIs" dxfId="172" priority="134" operator="equal">
      <formula>"Trained"</formula>
    </cfRule>
  </conditionalFormatting>
  <conditionalFormatting sqref="I96:I97">
    <cfRule type="cellIs" dxfId="171" priority="131" operator="equal">
      <formula>"Expert"</formula>
    </cfRule>
    <cfRule type="cellIs" dxfId="170" priority="132" operator="equal">
      <formula>"Trained"</formula>
    </cfRule>
  </conditionalFormatting>
  <conditionalFormatting sqref="I96:I97">
    <cfRule type="cellIs" dxfId="169" priority="129" operator="equal">
      <formula>"Expert"</formula>
    </cfRule>
    <cfRule type="cellIs" dxfId="168" priority="130" operator="equal">
      <formula>"Trained"</formula>
    </cfRule>
  </conditionalFormatting>
  <conditionalFormatting sqref="I96:I97">
    <cfRule type="cellIs" dxfId="167" priority="127" operator="equal">
      <formula>"Expert"</formula>
    </cfRule>
    <cfRule type="cellIs" dxfId="166" priority="128" operator="equal">
      <formula>"Trained"</formula>
    </cfRule>
  </conditionalFormatting>
  <conditionalFormatting sqref="I100:I101">
    <cfRule type="cellIs" dxfId="165" priority="125" operator="equal">
      <formula>"Expert"</formula>
    </cfRule>
    <cfRule type="cellIs" dxfId="164" priority="126" operator="equal">
      <formula>"Trained"</formula>
    </cfRule>
  </conditionalFormatting>
  <conditionalFormatting sqref="I100:I101">
    <cfRule type="cellIs" dxfId="163" priority="123" operator="equal">
      <formula>"Expert"</formula>
    </cfRule>
    <cfRule type="cellIs" dxfId="162" priority="124" operator="equal">
      <formula>"Trained"</formula>
    </cfRule>
  </conditionalFormatting>
  <conditionalFormatting sqref="I100:I101">
    <cfRule type="cellIs" dxfId="161" priority="121" operator="equal">
      <formula>"Expert"</formula>
    </cfRule>
    <cfRule type="cellIs" dxfId="160" priority="122" operator="equal">
      <formula>"Trained"</formula>
    </cfRule>
  </conditionalFormatting>
  <conditionalFormatting sqref="I102:I103">
    <cfRule type="cellIs" dxfId="159" priority="119" operator="equal">
      <formula>"Expert"</formula>
    </cfRule>
    <cfRule type="cellIs" dxfId="158" priority="120" operator="equal">
      <formula>"Trained"</formula>
    </cfRule>
  </conditionalFormatting>
  <conditionalFormatting sqref="I102:I103">
    <cfRule type="cellIs" dxfId="157" priority="117" operator="equal">
      <formula>"Expert"</formula>
    </cfRule>
    <cfRule type="cellIs" dxfId="156" priority="118" operator="equal">
      <formula>"Trained"</formula>
    </cfRule>
  </conditionalFormatting>
  <conditionalFormatting sqref="I102:I103">
    <cfRule type="cellIs" dxfId="155" priority="115" operator="equal">
      <formula>"Expert"</formula>
    </cfRule>
    <cfRule type="cellIs" dxfId="154" priority="116" operator="equal">
      <formula>"Trained"</formula>
    </cfRule>
  </conditionalFormatting>
  <conditionalFormatting sqref="I106:I107">
    <cfRule type="cellIs" dxfId="153" priority="113" operator="equal">
      <formula>"Expert"</formula>
    </cfRule>
    <cfRule type="cellIs" dxfId="152" priority="114" operator="equal">
      <formula>"Trained"</formula>
    </cfRule>
  </conditionalFormatting>
  <conditionalFormatting sqref="I106:I107">
    <cfRule type="cellIs" dxfId="151" priority="111" operator="equal">
      <formula>"Expert"</formula>
    </cfRule>
    <cfRule type="cellIs" dxfId="150" priority="112" operator="equal">
      <formula>"Trained"</formula>
    </cfRule>
  </conditionalFormatting>
  <conditionalFormatting sqref="I106:I107">
    <cfRule type="cellIs" dxfId="149" priority="109" operator="equal">
      <formula>"Expert"</formula>
    </cfRule>
    <cfRule type="cellIs" dxfId="148" priority="110" operator="equal">
      <formula>"Trained"</formula>
    </cfRule>
  </conditionalFormatting>
  <conditionalFormatting sqref="I108:I109">
    <cfRule type="cellIs" dxfId="147" priority="107" operator="equal">
      <formula>"Expert"</formula>
    </cfRule>
    <cfRule type="cellIs" dxfId="146" priority="108" operator="equal">
      <formula>"Trained"</formula>
    </cfRule>
  </conditionalFormatting>
  <conditionalFormatting sqref="I108:I109">
    <cfRule type="cellIs" dxfId="145" priority="105" operator="equal">
      <formula>"Expert"</formula>
    </cfRule>
    <cfRule type="cellIs" dxfId="144" priority="106" operator="equal">
      <formula>"Trained"</formula>
    </cfRule>
  </conditionalFormatting>
  <conditionalFormatting sqref="I108:I109">
    <cfRule type="cellIs" dxfId="143" priority="103" operator="equal">
      <formula>"Expert"</formula>
    </cfRule>
    <cfRule type="cellIs" dxfId="142" priority="104" operator="equal">
      <formula>"Trained"</formula>
    </cfRule>
  </conditionalFormatting>
  <conditionalFormatting sqref="I128:I129">
    <cfRule type="cellIs" dxfId="141" priority="101" operator="equal">
      <formula>"Expert"</formula>
    </cfRule>
    <cfRule type="cellIs" dxfId="140" priority="102" operator="equal">
      <formula>"Trained"</formula>
    </cfRule>
  </conditionalFormatting>
  <conditionalFormatting sqref="I128:I129">
    <cfRule type="cellIs" dxfId="139" priority="99" operator="equal">
      <formula>"Expert"</formula>
    </cfRule>
    <cfRule type="cellIs" dxfId="138" priority="100" operator="equal">
      <formula>"Trained"</formula>
    </cfRule>
  </conditionalFormatting>
  <conditionalFormatting sqref="I128:I129">
    <cfRule type="cellIs" dxfId="137" priority="97" operator="equal">
      <formula>"Expert"</formula>
    </cfRule>
    <cfRule type="cellIs" dxfId="136" priority="98" operator="equal">
      <formula>"Trained"</formula>
    </cfRule>
  </conditionalFormatting>
  <conditionalFormatting sqref="I132:I133">
    <cfRule type="cellIs" dxfId="135" priority="95" operator="equal">
      <formula>"Expert"</formula>
    </cfRule>
    <cfRule type="cellIs" dxfId="134" priority="96" operator="equal">
      <formula>"Trained"</formula>
    </cfRule>
  </conditionalFormatting>
  <conditionalFormatting sqref="I132:I133">
    <cfRule type="cellIs" dxfId="133" priority="93" operator="equal">
      <formula>"Expert"</formula>
    </cfRule>
    <cfRule type="cellIs" dxfId="132" priority="94" operator="equal">
      <formula>"Trained"</formula>
    </cfRule>
  </conditionalFormatting>
  <conditionalFormatting sqref="I118:I119">
    <cfRule type="cellIs" dxfId="131" priority="91" operator="equal">
      <formula>"Expert"</formula>
    </cfRule>
    <cfRule type="cellIs" dxfId="130" priority="92" operator="equal">
      <formula>"Trained"</formula>
    </cfRule>
  </conditionalFormatting>
  <conditionalFormatting sqref="I118:I119">
    <cfRule type="cellIs" dxfId="129" priority="89" operator="equal">
      <formula>"Expert"</formula>
    </cfRule>
    <cfRule type="cellIs" dxfId="128" priority="90" operator="equal">
      <formula>"Trained"</formula>
    </cfRule>
  </conditionalFormatting>
  <conditionalFormatting sqref="I118:I119">
    <cfRule type="cellIs" dxfId="127" priority="87" operator="equal">
      <formula>"Expert"</formula>
    </cfRule>
    <cfRule type="cellIs" dxfId="126" priority="88" operator="equal">
      <formula>"Trained"</formula>
    </cfRule>
  </conditionalFormatting>
  <conditionalFormatting sqref="I120:I121">
    <cfRule type="cellIs" dxfId="125" priority="85" operator="equal">
      <formula>"Expert"</formula>
    </cfRule>
    <cfRule type="cellIs" dxfId="124" priority="86" operator="equal">
      <formula>"Trained"</formula>
    </cfRule>
  </conditionalFormatting>
  <conditionalFormatting sqref="I120:I121">
    <cfRule type="cellIs" dxfId="123" priority="83" operator="equal">
      <formula>"Expert"</formula>
    </cfRule>
    <cfRule type="cellIs" dxfId="122" priority="84" operator="equal">
      <formula>"Trained"</formula>
    </cfRule>
  </conditionalFormatting>
  <conditionalFormatting sqref="I120:I121">
    <cfRule type="cellIs" dxfId="121" priority="81" operator="equal">
      <formula>"Expert"</formula>
    </cfRule>
    <cfRule type="cellIs" dxfId="120" priority="82" operator="equal">
      <formula>"Trained"</formula>
    </cfRule>
  </conditionalFormatting>
  <conditionalFormatting sqref="B115">
    <cfRule type="cellIs" dxfId="119" priority="79" operator="equal">
      <formula>"Expert"</formula>
    </cfRule>
    <cfRule type="cellIs" dxfId="118" priority="80" operator="equal">
      <formula>"Trained"</formula>
    </cfRule>
  </conditionalFormatting>
  <conditionalFormatting sqref="I96:I97">
    <cfRule type="cellIs" dxfId="117" priority="77" operator="equal">
      <formula>"Expert"</formula>
    </cfRule>
    <cfRule type="cellIs" dxfId="116" priority="78" operator="equal">
      <formula>"Trained"</formula>
    </cfRule>
  </conditionalFormatting>
  <conditionalFormatting sqref="I96:I97">
    <cfRule type="cellIs" dxfId="115" priority="75" operator="equal">
      <formula>"Expert"</formula>
    </cfRule>
    <cfRule type="cellIs" dxfId="114" priority="76" operator="equal">
      <formula>"Trained"</formula>
    </cfRule>
  </conditionalFormatting>
  <conditionalFormatting sqref="I96:I97">
    <cfRule type="cellIs" dxfId="113" priority="73" operator="equal">
      <formula>"Expert"</formula>
    </cfRule>
    <cfRule type="cellIs" dxfId="112" priority="74" operator="equal">
      <formula>"Trained"</formula>
    </cfRule>
  </conditionalFormatting>
  <conditionalFormatting sqref="G145:G146">
    <cfRule type="cellIs" dxfId="111" priority="71" operator="equal">
      <formula>"Expert"</formula>
    </cfRule>
    <cfRule type="cellIs" dxfId="110" priority="72" operator="equal">
      <formula>"Trained"</formula>
    </cfRule>
  </conditionalFormatting>
  <conditionalFormatting sqref="G147">
    <cfRule type="cellIs" dxfId="109" priority="69" operator="equal">
      <formula>"Expert"</formula>
    </cfRule>
    <cfRule type="cellIs" dxfId="108" priority="70" operator="equal">
      <formula>"Trained"</formula>
    </cfRule>
  </conditionalFormatting>
  <conditionalFormatting sqref="G149">
    <cfRule type="cellIs" dxfId="107" priority="67" operator="equal">
      <formula>"Expert"</formula>
    </cfRule>
    <cfRule type="cellIs" dxfId="106" priority="68" operator="equal">
      <formula>"Trained"</formula>
    </cfRule>
  </conditionalFormatting>
  <conditionalFormatting sqref="I149">
    <cfRule type="cellIs" dxfId="105" priority="65" operator="equal">
      <formula>"Expert"</formula>
    </cfRule>
    <cfRule type="cellIs" dxfId="104" priority="66" operator="equal">
      <formula>"Trained"</formula>
    </cfRule>
  </conditionalFormatting>
  <conditionalFormatting sqref="I146">
    <cfRule type="cellIs" dxfId="103" priority="63" operator="equal">
      <formula>"Expert"</formula>
    </cfRule>
    <cfRule type="cellIs" dxfId="102" priority="64" operator="equal">
      <formula>"Trained"</formula>
    </cfRule>
  </conditionalFormatting>
  <conditionalFormatting sqref="I138">
    <cfRule type="cellIs" dxfId="101" priority="61" operator="equal">
      <formula>"Expert"</formula>
    </cfRule>
    <cfRule type="cellIs" dxfId="100" priority="62" operator="equal">
      <formula>"Trained"</formula>
    </cfRule>
  </conditionalFormatting>
  <conditionalFormatting sqref="I137">
    <cfRule type="cellIs" dxfId="99" priority="59" operator="equal">
      <formula>"Expert"</formula>
    </cfRule>
    <cfRule type="cellIs" dxfId="98" priority="60" operator="equal">
      <formula>"Trained"</formula>
    </cfRule>
  </conditionalFormatting>
  <conditionalFormatting sqref="I145">
    <cfRule type="cellIs" dxfId="97" priority="57" operator="equal">
      <formula>"Expert"</formula>
    </cfRule>
    <cfRule type="cellIs" dxfId="96" priority="58" operator="equal">
      <formula>"Trained"</formula>
    </cfRule>
  </conditionalFormatting>
  <conditionalFormatting sqref="I148">
    <cfRule type="cellIs" dxfId="95" priority="55" operator="equal">
      <formula>"Expert"</formula>
    </cfRule>
    <cfRule type="cellIs" dxfId="94" priority="56" operator="equal">
      <formula>"Trained"</formula>
    </cfRule>
  </conditionalFormatting>
  <conditionalFormatting sqref="I147">
    <cfRule type="cellIs" dxfId="93" priority="53" operator="equal">
      <formula>"Expert"</formula>
    </cfRule>
    <cfRule type="cellIs" dxfId="92" priority="54" operator="equal">
      <formula>"Trained"</formula>
    </cfRule>
  </conditionalFormatting>
  <conditionalFormatting sqref="I149">
    <cfRule type="cellIs" dxfId="91" priority="51" operator="equal">
      <formula>"Expert"</formula>
    </cfRule>
    <cfRule type="cellIs" dxfId="90" priority="52" operator="equal">
      <formula>"Trained"</formula>
    </cfRule>
  </conditionalFormatting>
  <conditionalFormatting sqref="B125">
    <cfRule type="cellIs" dxfId="89" priority="49" operator="equal">
      <formula>"Expert"</formula>
    </cfRule>
    <cfRule type="cellIs" dxfId="88" priority="50" operator="equal">
      <formula>"Trained"</formula>
    </cfRule>
  </conditionalFormatting>
  <conditionalFormatting sqref="B125">
    <cfRule type="cellIs" dxfId="87" priority="47" operator="equal">
      <formula>"Expert"</formula>
    </cfRule>
    <cfRule type="cellIs" dxfId="86" priority="48" operator="equal">
      <formula>"Trained"</formula>
    </cfRule>
  </conditionalFormatting>
  <conditionalFormatting sqref="C119">
    <cfRule type="cellIs" dxfId="85" priority="43" operator="equal">
      <formula>"Legendary"</formula>
    </cfRule>
    <cfRule type="cellIs" dxfId="84" priority="44" operator="equal">
      <formula>"Master"</formula>
    </cfRule>
    <cfRule type="cellIs" dxfId="83" priority="45" operator="equal">
      <formula>"Expert"</formula>
    </cfRule>
    <cfRule type="cellIs" dxfId="82" priority="46" operator="equal">
      <formula>"Trained"</formula>
    </cfRule>
  </conditionalFormatting>
  <conditionalFormatting sqref="C119">
    <cfRule type="cellIs" dxfId="81" priority="41" operator="equal">
      <formula>"Expert"</formula>
    </cfRule>
    <cfRule type="cellIs" dxfId="80" priority="42" operator="equal">
      <formula>"Trained"</formula>
    </cfRule>
  </conditionalFormatting>
  <conditionalFormatting sqref="C119">
    <cfRule type="cellIs" dxfId="79" priority="39" operator="equal">
      <formula>"Expert"</formula>
    </cfRule>
    <cfRule type="cellIs" dxfId="78" priority="40" operator="equal">
      <formula>"Trained"</formula>
    </cfRule>
  </conditionalFormatting>
  <conditionalFormatting sqref="F106">
    <cfRule type="cellIs" dxfId="77" priority="37" operator="equal">
      <formula>"Expert"</formula>
    </cfRule>
    <cfRule type="cellIs" dxfId="76" priority="38" operator="equal">
      <formula>"Trained"</formula>
    </cfRule>
  </conditionalFormatting>
  <conditionalFormatting sqref="F106">
    <cfRule type="cellIs" dxfId="75" priority="35" operator="equal">
      <formula>"Expert"</formula>
    </cfRule>
    <cfRule type="cellIs" dxfId="74" priority="36" operator="equal">
      <formula>"Trained"</formula>
    </cfRule>
  </conditionalFormatting>
  <conditionalFormatting sqref="F106">
    <cfRule type="cellIs" dxfId="73" priority="33" operator="equal">
      <formula>"Expert"</formula>
    </cfRule>
    <cfRule type="cellIs" dxfId="72" priority="34" operator="equal">
      <formula>"Trained"</formula>
    </cfRule>
  </conditionalFormatting>
  <conditionalFormatting sqref="F130">
    <cfRule type="cellIs" dxfId="71" priority="31" operator="equal">
      <formula>"Expert"</formula>
    </cfRule>
    <cfRule type="cellIs" dxfId="70" priority="32" operator="equal">
      <formula>"Trained"</formula>
    </cfRule>
  </conditionalFormatting>
  <conditionalFormatting sqref="F130">
    <cfRule type="cellIs" dxfId="69" priority="29" operator="equal">
      <formula>"Expert"</formula>
    </cfRule>
    <cfRule type="cellIs" dxfId="68" priority="30" operator="equal">
      <formula>"Trained"</formula>
    </cfRule>
  </conditionalFormatting>
  <conditionalFormatting sqref="E96">
    <cfRule type="cellIs" dxfId="67" priority="27" operator="equal">
      <formula>"Expert"</formula>
    </cfRule>
    <cfRule type="cellIs" dxfId="66" priority="28" operator="equal">
      <formula>"Trained"</formula>
    </cfRule>
  </conditionalFormatting>
  <conditionalFormatting sqref="E96">
    <cfRule type="cellIs" dxfId="65" priority="25" operator="equal">
      <formula>"Expert"</formula>
    </cfRule>
    <cfRule type="cellIs" dxfId="64" priority="26" operator="equal">
      <formula>"Trained"</formula>
    </cfRule>
  </conditionalFormatting>
  <conditionalFormatting sqref="E96">
    <cfRule type="cellIs" dxfId="63" priority="23" operator="equal">
      <formula>"Expert"</formula>
    </cfRule>
    <cfRule type="cellIs" dxfId="62" priority="24" operator="equal">
      <formula>"Trained"</formula>
    </cfRule>
  </conditionalFormatting>
  <conditionalFormatting sqref="G100">
    <cfRule type="cellIs" dxfId="61" priority="21" operator="equal">
      <formula>"Expert"</formula>
    </cfRule>
    <cfRule type="cellIs" dxfId="60" priority="22" operator="equal">
      <formula>"Trained"</formula>
    </cfRule>
  </conditionalFormatting>
  <conditionalFormatting sqref="G100">
    <cfRule type="cellIs" dxfId="59" priority="19" operator="equal">
      <formula>"Expert"</formula>
    </cfRule>
    <cfRule type="cellIs" dxfId="58" priority="20" operator="equal">
      <formula>"Trained"</formula>
    </cfRule>
  </conditionalFormatting>
  <conditionalFormatting sqref="G100">
    <cfRule type="cellIs" dxfId="57" priority="17" operator="equal">
      <formula>"Expert"</formula>
    </cfRule>
    <cfRule type="cellIs" dxfId="56" priority="18" operator="equal">
      <formula>"Trained"</formula>
    </cfRule>
  </conditionalFormatting>
  <conditionalFormatting sqref="G100">
    <cfRule type="cellIs" dxfId="55" priority="15" operator="equal">
      <formula>"Expert"</formula>
    </cfRule>
    <cfRule type="cellIs" dxfId="54" priority="16" operator="equal">
      <formula>"Trained"</formula>
    </cfRule>
  </conditionalFormatting>
  <conditionalFormatting sqref="H96">
    <cfRule type="cellIs" dxfId="53" priority="13" operator="equal">
      <formula>"Expert"</formula>
    </cfRule>
    <cfRule type="cellIs" dxfId="52" priority="14" operator="equal">
      <formula>"Trained"</formula>
    </cfRule>
  </conditionalFormatting>
  <conditionalFormatting sqref="H96">
    <cfRule type="cellIs" dxfId="51" priority="11" operator="equal">
      <formula>"Expert"</formula>
    </cfRule>
    <cfRule type="cellIs" dxfId="50" priority="12" operator="equal">
      <formula>"Trained"</formula>
    </cfRule>
  </conditionalFormatting>
  <conditionalFormatting sqref="H96">
    <cfRule type="cellIs" dxfId="49" priority="9" operator="equal">
      <formula>"Expert"</formula>
    </cfRule>
    <cfRule type="cellIs" dxfId="48" priority="10" operator="equal">
      <formula>"Trained"</formula>
    </cfRule>
  </conditionalFormatting>
  <conditionalFormatting sqref="H150">
    <cfRule type="cellIs" dxfId="47" priority="7" operator="equal">
      <formula>"Expert"</formula>
    </cfRule>
    <cfRule type="cellIs" dxfId="46" priority="8" operator="equal">
      <formula>"Trained"</formula>
    </cfRule>
  </conditionalFormatting>
  <conditionalFormatting sqref="H147">
    <cfRule type="cellIs" dxfId="45" priority="5" operator="equal">
      <formula>"Expert"</formula>
    </cfRule>
    <cfRule type="cellIs" dxfId="44" priority="6" operator="equal">
      <formula>"Trained"</formula>
    </cfRule>
  </conditionalFormatting>
  <conditionalFormatting sqref="H148">
    <cfRule type="cellIs" dxfId="43" priority="3" operator="equal">
      <formula>"Expert"</formula>
    </cfRule>
    <cfRule type="cellIs" dxfId="42" priority="4" operator="equal">
      <formula>"Trained"</formula>
    </cfRule>
  </conditionalFormatting>
  <conditionalFormatting sqref="H151">
    <cfRule type="cellIs" dxfId="41" priority="1" operator="equal">
      <formula>"Expert"</formula>
    </cfRule>
    <cfRule type="cellIs" dxfId="40" priority="2" operator="equal">
      <formula>"Trained"</formula>
    </cfRule>
  </conditionalFormatting>
  <dataValidations count="2">
    <dataValidation allowBlank="1" showInputMessage="1" showErrorMessage="1" sqref="K148:XFD152 K127:XFD127 K119:XFD119 J105:XFD105 K129:XFD129 K107:XFD107 J131:XFD131 K103:XFD103 K121:XFD121 K133:XFD133 J101 A103 A107 A109 I133 A148:J149 A121 A127:B127 A129 A131 A133 K115:XFD115 K109:XFD109 J97:XFD97 K113:XFD113 A135:C135 A125:B125 E105:F105 A123:F123 D125:F125 F109 D103 A113:I113 A97:C97 E97 A105:C105 A119:B119 A166:XFD166 A157:XFD157 A168:XFD168 A142:XFD142 J135:XFD135 H125:XFD125 H123:XFD123 A117:XFD117 A79:XFD79 A76:XFD76 A83:XFD83 A138:XFD138 A146:XFD146 A115 A81:XFD81 A140:XFD140 A144:XFD144 A164:XFD164 A155:XFD155 A161:XFD161 A159:XFD159 F135:H135 H105 H109 A151:J152" xr:uid="{00000000-0002-0000-0300-000000000000}"/>
    <dataValidation type="list" allowBlank="1" showInputMessage="1" showErrorMessage="1" sqref="F167:G167 B137:J137 B165:D165 D150 B167:D167 F165:G165 B126:J126 B122:J122 B106:J106 B124:J124 B108:J108 B110:J110 B98:J98 B112:J112 B120:J120 B116:J116 B102:J102 B128:J128 B145:J145 B118:J118 B114:J114 B156:J156 B80:J80 B147:I147 B134:J134 B104:J104 B132:J132 B130:J130 B78:J78 B82:J82 B100:J100 B143:J143 B139:J139 B75:J75 B141:J141 B163:J163 B160:J160 B158:J158 B154:J154 B96:J96 H150" xr:uid="{00000000-0002-0000-0300-000001000000}">
      <formula1>$L$8:$L$13</formula1>
    </dataValidation>
  </dataValidations>
  <hyperlinks>
    <hyperlink ref="C1" r:id="rId1" location="id=2533454" display="Zabraarallongex" xr:uid="{0FCDBB8D-BA7C-46C2-8CA7-D85982AEFE91}"/>
    <hyperlink ref="B1" r:id="rId2" location="id=2533415" xr:uid="{2CBF3D1A-7153-44FE-AECB-7FF6CBDF8B5A}"/>
    <hyperlink ref="H1" r:id="rId3" location="id=2535463" xr:uid="{20DB2028-D601-41FB-BB3C-D19D0580E292}"/>
    <hyperlink ref="G1" r:id="rId4" location="id=2538135" xr:uid="{211713AF-97A6-4857-ADB4-0794143D0F10}"/>
    <hyperlink ref="F1" r:id="rId5" location="id=2534175" xr:uid="{1B018A23-5462-4F55-82C4-67F62917977C}"/>
    <hyperlink ref="E1" r:id="rId6" location="id=2027709" xr:uid="{D90C9395-BAD4-46DE-B6E3-C0BBE58A6B44}"/>
    <hyperlink ref="J1" r:id="rId7" display="https://2e.aonprd.com/Monsters.aspx?ID=118" xr:uid="{8B56374C-2359-4545-8CEA-799FCCDC2468}"/>
    <hyperlink ref="D1" r:id="rId8" location="id=2544341" xr:uid="{96D156CA-7D84-4948-9FDE-7A0A34859A26}"/>
    <hyperlink ref="I1" r:id="rId9" location="id=2561941" xr:uid="{73E173BD-8943-422D-8A09-AC2C3F0E1AAB}"/>
  </hyperlinks>
  <pageMargins left="0.7" right="0.7" top="0.75" bottom="0.75" header="0" footer="0"/>
  <pageSetup paperSize="9"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57"/>
  <sheetViews>
    <sheetView showGridLines="0" workbookViewId="0">
      <pane xSplit="1" ySplit="1" topLeftCell="B17" activePane="bottomRight" state="frozen"/>
      <selection activeCell="K106" sqref="K106"/>
      <selection pane="topRight" activeCell="K106" sqref="K106"/>
      <selection pane="bottomLeft" activeCell="K106" sqref="K106"/>
      <selection pane="bottomRight" activeCell="E8" sqref="E8"/>
    </sheetView>
  </sheetViews>
  <sheetFormatPr baseColWidth="10" defaultColWidth="14.42578125" defaultRowHeight="15" x14ac:dyDescent="0.25"/>
  <cols>
    <col min="1" max="1" width="8.140625" style="104" customWidth="1"/>
    <col min="2" max="2" width="26.42578125" style="104" customWidth="1"/>
    <col min="3" max="3" width="26.28515625" style="104" customWidth="1" collapsed="1"/>
    <col min="4" max="5" width="26.28515625" style="104" customWidth="1"/>
    <col min="6" max="6" width="26.28515625" style="104" customWidth="1" collapsed="1"/>
    <col min="7" max="10" width="26.28515625" style="104" customWidth="1"/>
    <col min="11" max="11" width="2.28515625" style="104" customWidth="1"/>
    <col min="12" max="12" width="13.140625" style="107" customWidth="1"/>
    <col min="13" max="13" width="28.140625" style="107" customWidth="1"/>
    <col min="14" max="16384" width="14.42578125" style="104"/>
  </cols>
  <sheetData>
    <row r="1" spans="1:14" ht="30.75" thickBot="1" x14ac:dyDescent="0.3">
      <c r="A1" s="1203" t="s">
        <v>106</v>
      </c>
      <c r="B1" s="1201" t="s">
        <v>154</v>
      </c>
      <c r="C1" s="254" t="s">
        <v>1025</v>
      </c>
      <c r="D1" s="818" t="s">
        <v>659</v>
      </c>
      <c r="E1" s="255" t="s">
        <v>266</v>
      </c>
      <c r="F1" s="255" t="s">
        <v>155</v>
      </c>
      <c r="G1" s="255" t="s">
        <v>204</v>
      </c>
      <c r="H1" s="254" t="s">
        <v>156</v>
      </c>
      <c r="I1" s="254" t="s">
        <v>840</v>
      </c>
      <c r="J1" s="1202" t="s">
        <v>153</v>
      </c>
      <c r="L1" s="105" t="s">
        <v>128</v>
      </c>
      <c r="M1" s="105" t="s">
        <v>127</v>
      </c>
    </row>
    <row r="2" spans="1:14" x14ac:dyDescent="0.25">
      <c r="A2" s="106" t="s">
        <v>105</v>
      </c>
      <c r="B2" s="222" t="s">
        <v>36</v>
      </c>
      <c r="C2" s="223" t="s">
        <v>35</v>
      </c>
      <c r="D2" s="223" t="s">
        <v>33</v>
      </c>
      <c r="E2" s="224" t="s">
        <v>34</v>
      </c>
      <c r="F2" s="223" t="s">
        <v>35</v>
      </c>
      <c r="G2" s="223" t="s">
        <v>35</v>
      </c>
      <c r="H2" s="1062" t="s">
        <v>33</v>
      </c>
      <c r="I2" s="224" t="s">
        <v>36</v>
      </c>
      <c r="J2" s="225" t="str">
        <f>'Dés de vie'!J3</f>
        <v>Dromaeosaur</v>
      </c>
      <c r="L2" s="107">
        <v>1</v>
      </c>
      <c r="M2" s="108" t="s">
        <v>26</v>
      </c>
    </row>
    <row r="3" spans="1:14" ht="15.75" thickBot="1" x14ac:dyDescent="0.3">
      <c r="A3" s="109"/>
      <c r="B3" s="226" t="s">
        <v>237</v>
      </c>
      <c r="C3" s="227" t="s">
        <v>276</v>
      </c>
      <c r="D3" s="227" t="s">
        <v>661</v>
      </c>
      <c r="E3" s="227" t="s">
        <v>272</v>
      </c>
      <c r="F3" s="227" t="s">
        <v>748</v>
      </c>
      <c r="G3" s="220" t="s">
        <v>192</v>
      </c>
      <c r="H3" s="1061" t="s">
        <v>286</v>
      </c>
      <c r="I3" s="227" t="s">
        <v>237</v>
      </c>
      <c r="J3" s="179"/>
      <c r="L3" s="107">
        <v>1</v>
      </c>
      <c r="M3" s="108" t="s">
        <v>99</v>
      </c>
    </row>
    <row r="4" spans="1:14" ht="15.75" thickBot="1" x14ac:dyDescent="0.3">
      <c r="A4" s="109"/>
      <c r="B4" s="859" t="s">
        <v>171</v>
      </c>
      <c r="C4" s="860" t="s">
        <v>180</v>
      </c>
      <c r="D4" s="819" t="s">
        <v>673</v>
      </c>
      <c r="E4" s="861" t="s">
        <v>267</v>
      </c>
      <c r="F4" s="860" t="s">
        <v>190</v>
      </c>
      <c r="G4" s="860" t="s">
        <v>193</v>
      </c>
      <c r="H4" s="247" t="s">
        <v>97</v>
      </c>
      <c r="I4" s="247" t="s">
        <v>841</v>
      </c>
      <c r="J4" s="179"/>
      <c r="L4" s="107">
        <v>1</v>
      </c>
      <c r="M4" s="108" t="s">
        <v>42</v>
      </c>
    </row>
    <row r="5" spans="1:14" ht="30" x14ac:dyDescent="0.25">
      <c r="A5" s="109"/>
      <c r="B5" s="251" t="s">
        <v>240</v>
      </c>
      <c r="C5" s="250" t="s">
        <v>419</v>
      </c>
      <c r="D5" s="250" t="s">
        <v>676</v>
      </c>
      <c r="E5" s="250" t="s">
        <v>934</v>
      </c>
      <c r="F5" s="250" t="s">
        <v>252</v>
      </c>
      <c r="G5" s="224" t="s">
        <v>197</v>
      </c>
      <c r="H5" s="250" t="s">
        <v>789</v>
      </c>
      <c r="I5" s="250" t="s">
        <v>844</v>
      </c>
      <c r="J5" s="269" t="s">
        <v>291</v>
      </c>
      <c r="L5" s="107">
        <v>1</v>
      </c>
      <c r="M5" s="108" t="s">
        <v>126</v>
      </c>
    </row>
    <row r="6" spans="1:14" x14ac:dyDescent="0.25">
      <c r="A6" s="109"/>
      <c r="B6" s="181" t="str">
        <f>Création!B30</f>
        <v>Darkvision</v>
      </c>
      <c r="C6" s="182" t="str">
        <f>Création!C30</f>
        <v>Low-light vision</v>
      </c>
      <c r="D6" s="182" t="str">
        <f>Création!D30</f>
        <v>Low-light vision</v>
      </c>
      <c r="E6" s="182" t="str">
        <f>Création!E30</f>
        <v>Darkvision</v>
      </c>
      <c r="F6" s="182" t="str">
        <f>Création!F30</f>
        <v>Low-light vision</v>
      </c>
      <c r="G6" s="182" t="str">
        <f>Création!G30</f>
        <v>Darkvision</v>
      </c>
      <c r="H6" s="182" t="str">
        <f>Création!H30</f>
        <v>Normal Vision</v>
      </c>
      <c r="I6" s="182" t="str">
        <f>Création!I30</f>
        <v>Darkvision</v>
      </c>
      <c r="J6" s="183"/>
      <c r="L6" s="107">
        <v>1</v>
      </c>
      <c r="M6" s="108" t="s">
        <v>263</v>
      </c>
    </row>
    <row r="7" spans="1:14" ht="30.75" thickBot="1" x14ac:dyDescent="0.3">
      <c r="A7" s="109"/>
      <c r="B7" s="1128" t="s">
        <v>215</v>
      </c>
      <c r="C7" s="1129" t="s">
        <v>216</v>
      </c>
      <c r="D7" s="245" t="s">
        <v>675</v>
      </c>
      <c r="E7" s="245" t="s">
        <v>270</v>
      </c>
      <c r="F7" s="1129" t="s">
        <v>217</v>
      </c>
      <c r="G7" s="1130" t="s">
        <v>219</v>
      </c>
      <c r="H7" s="1129" t="s">
        <v>217</v>
      </c>
      <c r="I7" s="245" t="s">
        <v>843</v>
      </c>
      <c r="J7" s="414"/>
      <c r="L7" s="107">
        <v>1</v>
      </c>
      <c r="M7" s="108" t="s">
        <v>130</v>
      </c>
    </row>
    <row r="8" spans="1:14" x14ac:dyDescent="0.25">
      <c r="A8" s="109"/>
      <c r="B8" s="251" t="s">
        <v>173</v>
      </c>
      <c r="C8" s="242" t="s">
        <v>418</v>
      </c>
      <c r="D8" s="250" t="s">
        <v>715</v>
      </c>
      <c r="E8" s="250" t="s">
        <v>271</v>
      </c>
      <c r="F8" s="224" t="s">
        <v>264</v>
      </c>
      <c r="G8" s="224" t="s">
        <v>194</v>
      </c>
      <c r="H8" s="231"/>
      <c r="I8" s="250" t="s">
        <v>846</v>
      </c>
      <c r="J8" s="243"/>
      <c r="L8" s="107">
        <v>1</v>
      </c>
      <c r="M8" s="108" t="s">
        <v>160</v>
      </c>
    </row>
    <row r="9" spans="1:14" ht="30.75" thickBot="1" x14ac:dyDescent="0.3">
      <c r="A9" s="109"/>
      <c r="B9" s="244"/>
      <c r="C9" s="343" t="s">
        <v>417</v>
      </c>
      <c r="D9" s="343"/>
      <c r="E9" s="220"/>
      <c r="F9" s="227" t="s">
        <v>257</v>
      </c>
      <c r="G9" s="240"/>
      <c r="H9" s="240"/>
      <c r="I9" s="240"/>
      <c r="J9" s="241"/>
      <c r="L9" s="107">
        <v>1</v>
      </c>
      <c r="M9" s="108" t="s">
        <v>160</v>
      </c>
    </row>
    <row r="10" spans="1:14" x14ac:dyDescent="0.25">
      <c r="A10" s="109"/>
      <c r="B10" s="229" t="s">
        <v>247</v>
      </c>
      <c r="C10" s="230" t="s">
        <v>182</v>
      </c>
      <c r="D10" s="389" t="s">
        <v>714</v>
      </c>
      <c r="E10" s="230" t="s">
        <v>125</v>
      </c>
      <c r="F10" s="231"/>
      <c r="G10" s="231" t="s">
        <v>243</v>
      </c>
      <c r="H10" s="252" t="s">
        <v>242</v>
      </c>
      <c r="I10" s="231" t="s">
        <v>243</v>
      </c>
      <c r="J10" s="180"/>
      <c r="L10" s="107">
        <v>1</v>
      </c>
      <c r="M10" s="108" t="s">
        <v>129</v>
      </c>
    </row>
    <row r="11" spans="1:14" x14ac:dyDescent="0.25">
      <c r="A11" s="109"/>
      <c r="B11" s="232" t="s">
        <v>123</v>
      </c>
      <c r="C11" s="186" t="s">
        <v>275</v>
      </c>
      <c r="D11" s="137"/>
      <c r="E11" s="186" t="s">
        <v>247</v>
      </c>
      <c r="F11" s="137"/>
      <c r="G11" s="137" t="s">
        <v>244</v>
      </c>
      <c r="H11" s="253" t="s">
        <v>123</v>
      </c>
      <c r="I11" s="137" t="s">
        <v>244</v>
      </c>
      <c r="J11" s="183"/>
      <c r="L11" s="107">
        <v>1</v>
      </c>
      <c r="M11" s="108" t="s">
        <v>129</v>
      </c>
    </row>
    <row r="12" spans="1:14" x14ac:dyDescent="0.25">
      <c r="A12" s="109"/>
      <c r="B12" s="233" t="s">
        <v>246</v>
      </c>
      <c r="C12" s="137"/>
      <c r="D12" s="186" t="s">
        <v>682</v>
      </c>
      <c r="E12" s="137"/>
      <c r="F12" s="137"/>
      <c r="G12" s="186" t="s">
        <v>245</v>
      </c>
      <c r="H12" s="137"/>
      <c r="I12" s="186" t="s">
        <v>847</v>
      </c>
      <c r="J12" s="183"/>
      <c r="L12" s="107">
        <v>1</v>
      </c>
      <c r="M12" s="108" t="s">
        <v>129</v>
      </c>
    </row>
    <row r="13" spans="1:14" x14ac:dyDescent="0.25">
      <c r="A13" s="109"/>
      <c r="B13" s="233" t="s">
        <v>265</v>
      </c>
      <c r="C13" s="137"/>
      <c r="D13" s="137"/>
      <c r="E13" s="137"/>
      <c r="F13" s="137"/>
      <c r="G13" s="137"/>
      <c r="H13" s="137"/>
      <c r="I13" s="137"/>
      <c r="J13" s="183"/>
      <c r="L13" s="107">
        <v>1</v>
      </c>
      <c r="M13" s="108" t="s">
        <v>129</v>
      </c>
    </row>
    <row r="14" spans="1:14" ht="30" x14ac:dyDescent="0.25">
      <c r="A14" s="109"/>
      <c r="B14" s="232" t="s">
        <v>723</v>
      </c>
      <c r="C14" s="829" t="s">
        <v>556</v>
      </c>
      <c r="D14" s="186" t="s">
        <v>669</v>
      </c>
      <c r="E14" s="137"/>
      <c r="F14" s="186" t="s">
        <v>722</v>
      </c>
      <c r="G14" s="137"/>
      <c r="H14" s="137"/>
      <c r="I14" s="137"/>
      <c r="J14" s="183"/>
      <c r="L14" s="107">
        <v>1</v>
      </c>
      <c r="M14" s="108" t="s">
        <v>129</v>
      </c>
    </row>
    <row r="15" spans="1:14" ht="30" x14ac:dyDescent="0.25">
      <c r="A15" s="109"/>
      <c r="B15" s="238" t="s">
        <v>175</v>
      </c>
      <c r="C15" s="186" t="s">
        <v>474</v>
      </c>
      <c r="D15" s="186" t="s">
        <v>666</v>
      </c>
      <c r="E15" s="137"/>
      <c r="F15" s="186" t="s">
        <v>258</v>
      </c>
      <c r="G15" s="186"/>
      <c r="H15" s="186" t="s">
        <v>790</v>
      </c>
      <c r="I15" s="186"/>
      <c r="J15" s="239"/>
      <c r="L15" s="107">
        <v>1</v>
      </c>
      <c r="M15" s="108" t="s">
        <v>262</v>
      </c>
    </row>
    <row r="16" spans="1:14" ht="15.75" thickBot="1" x14ac:dyDescent="0.3">
      <c r="A16" s="109"/>
      <c r="B16" s="234"/>
      <c r="C16" s="235"/>
      <c r="D16" s="821" t="s">
        <v>681</v>
      </c>
      <c r="E16" s="227" t="s">
        <v>269</v>
      </c>
      <c r="F16" s="235"/>
      <c r="G16" s="220" t="s">
        <v>121</v>
      </c>
      <c r="H16" s="227" t="s">
        <v>412</v>
      </c>
      <c r="I16" s="220" t="s">
        <v>121</v>
      </c>
      <c r="J16" s="236"/>
      <c r="L16" s="107">
        <v>1</v>
      </c>
      <c r="M16" s="110" t="s">
        <v>111</v>
      </c>
      <c r="N16" s="111"/>
    </row>
    <row r="17" spans="1:14" ht="15.75" thickBot="1" x14ac:dyDescent="0.3">
      <c r="A17" s="109"/>
      <c r="B17" s="246"/>
      <c r="C17" s="247"/>
      <c r="D17" s="247"/>
      <c r="E17" s="247"/>
      <c r="F17" s="247"/>
      <c r="G17" s="248" t="s">
        <v>703</v>
      </c>
      <c r="H17" s="247"/>
      <c r="I17" s="861" t="s">
        <v>858</v>
      </c>
      <c r="J17" s="249"/>
      <c r="L17" s="107">
        <v>1</v>
      </c>
      <c r="M17" s="112" t="s">
        <v>131</v>
      </c>
      <c r="N17" s="111"/>
    </row>
    <row r="18" spans="1:14" x14ac:dyDescent="0.25">
      <c r="A18" s="106" t="s">
        <v>107</v>
      </c>
      <c r="B18" s="407" t="s">
        <v>467</v>
      </c>
      <c r="C18" s="408" t="s">
        <v>472</v>
      </c>
      <c r="D18" s="408" t="s">
        <v>707</v>
      </c>
      <c r="E18" s="408" t="s">
        <v>838</v>
      </c>
      <c r="F18" s="408" t="s">
        <v>468</v>
      </c>
      <c r="G18" s="408" t="s">
        <v>701</v>
      </c>
      <c r="H18" s="408" t="s">
        <v>706</v>
      </c>
      <c r="I18" s="408" t="s">
        <v>701</v>
      </c>
      <c r="J18" s="180"/>
      <c r="L18" s="107">
        <v>2</v>
      </c>
      <c r="M18" s="110" t="s">
        <v>110</v>
      </c>
      <c r="N18" s="111"/>
    </row>
    <row r="19" spans="1:14" x14ac:dyDescent="0.25">
      <c r="A19" s="109"/>
      <c r="B19" s="409" t="s">
        <v>469</v>
      </c>
      <c r="C19" s="410" t="s">
        <v>471</v>
      </c>
      <c r="D19" s="410" t="s">
        <v>690</v>
      </c>
      <c r="E19" s="410" t="s">
        <v>837</v>
      </c>
      <c r="F19" s="410" t="s">
        <v>466</v>
      </c>
      <c r="G19" s="410" t="s">
        <v>702</v>
      </c>
      <c r="H19" s="410" t="s">
        <v>562</v>
      </c>
      <c r="I19" s="410" t="s">
        <v>865</v>
      </c>
      <c r="J19" s="183"/>
      <c r="L19" s="107">
        <v>2</v>
      </c>
      <c r="M19" s="110" t="s">
        <v>111</v>
      </c>
      <c r="N19" s="111"/>
    </row>
    <row r="20" spans="1:14" x14ac:dyDescent="0.25">
      <c r="A20" s="109"/>
      <c r="B20" s="411" t="s">
        <v>470</v>
      </c>
      <c r="C20" s="137"/>
      <c r="D20" s="237"/>
      <c r="E20" s="412"/>
      <c r="F20" s="412"/>
      <c r="G20" s="412"/>
      <c r="H20" s="413"/>
      <c r="I20" s="413"/>
      <c r="J20" s="414"/>
      <c r="L20" s="107">
        <v>2</v>
      </c>
      <c r="M20" s="110" t="s">
        <v>111</v>
      </c>
      <c r="N20" s="111"/>
    </row>
    <row r="21" spans="1:14" ht="15.75" thickBot="1" x14ac:dyDescent="0.3">
      <c r="A21" s="109"/>
      <c r="B21" s="390"/>
      <c r="C21" s="391"/>
      <c r="D21" s="391"/>
      <c r="E21" s="391"/>
      <c r="F21" s="391"/>
      <c r="G21" s="828" t="s">
        <v>700</v>
      </c>
      <c r="H21" s="391"/>
      <c r="I21" s="828" t="s">
        <v>700</v>
      </c>
      <c r="J21" s="236"/>
      <c r="L21" s="107">
        <v>2</v>
      </c>
      <c r="M21" s="112" t="s">
        <v>132</v>
      </c>
      <c r="N21" s="111"/>
    </row>
    <row r="22" spans="1:14" ht="30" x14ac:dyDescent="0.25">
      <c r="A22" s="106" t="s">
        <v>108</v>
      </c>
      <c r="B22" s="388" t="s">
        <v>718</v>
      </c>
      <c r="C22" s="389"/>
      <c r="D22" s="389" t="s">
        <v>730</v>
      </c>
      <c r="E22" s="389" t="s">
        <v>721</v>
      </c>
      <c r="F22" s="389" t="s">
        <v>731</v>
      </c>
      <c r="G22" s="389" t="s">
        <v>721</v>
      </c>
      <c r="H22" s="389" t="s">
        <v>720</v>
      </c>
      <c r="I22" s="389" t="s">
        <v>721</v>
      </c>
      <c r="J22" s="180"/>
      <c r="K22" s="858"/>
      <c r="L22" s="107">
        <v>3</v>
      </c>
      <c r="M22" s="110" t="s">
        <v>129</v>
      </c>
      <c r="N22" s="111"/>
    </row>
    <row r="23" spans="1:14" ht="30" x14ac:dyDescent="0.25">
      <c r="A23" s="109"/>
      <c r="B23" s="181" t="s">
        <v>719</v>
      </c>
      <c r="C23" s="182"/>
      <c r="D23" s="182" t="s">
        <v>712</v>
      </c>
      <c r="E23" s="182"/>
      <c r="F23" s="182"/>
      <c r="G23" s="182"/>
      <c r="H23" s="182"/>
      <c r="I23" s="182"/>
      <c r="J23" s="183"/>
      <c r="K23" s="858"/>
      <c r="L23" s="107">
        <v>3</v>
      </c>
      <c r="M23" s="110" t="s">
        <v>129</v>
      </c>
      <c r="N23" s="111"/>
    </row>
    <row r="24" spans="1:14" x14ac:dyDescent="0.25">
      <c r="A24" s="109"/>
      <c r="B24" s="181" t="s">
        <v>713</v>
      </c>
      <c r="C24" s="182" t="s">
        <v>713</v>
      </c>
      <c r="D24" s="1204" t="s">
        <v>713</v>
      </c>
      <c r="E24" s="182"/>
      <c r="F24" s="182" t="s">
        <v>713</v>
      </c>
      <c r="G24" s="182"/>
      <c r="H24" s="182"/>
      <c r="I24" s="182"/>
      <c r="J24" s="183"/>
      <c r="K24" s="858"/>
      <c r="L24" s="107">
        <v>3</v>
      </c>
      <c r="M24" s="110" t="s">
        <v>129</v>
      </c>
      <c r="N24" s="111"/>
    </row>
    <row r="25" spans="1:14" ht="30" x14ac:dyDescent="0.25">
      <c r="A25" s="109"/>
      <c r="B25" s="409" t="s">
        <v>724</v>
      </c>
      <c r="C25" s="869" t="s">
        <v>781</v>
      </c>
      <c r="D25" s="410" t="s">
        <v>775</v>
      </c>
      <c r="E25" s="410" t="s">
        <v>775</v>
      </c>
      <c r="F25" s="410" t="s">
        <v>749</v>
      </c>
      <c r="G25" s="410" t="s">
        <v>724</v>
      </c>
      <c r="H25" s="410" t="s">
        <v>788</v>
      </c>
      <c r="I25" s="410" t="s">
        <v>916</v>
      </c>
      <c r="J25" s="183"/>
      <c r="K25" s="858"/>
      <c r="L25" s="107">
        <v>3</v>
      </c>
      <c r="M25" s="110" t="s">
        <v>112</v>
      </c>
      <c r="N25" s="111"/>
    </row>
    <row r="26" spans="1:14" x14ac:dyDescent="0.25">
      <c r="A26" s="109"/>
      <c r="B26" s="409" t="s">
        <v>768</v>
      </c>
      <c r="C26" s="865" t="s">
        <v>780</v>
      </c>
      <c r="D26" s="410" t="s">
        <v>771</v>
      </c>
      <c r="E26" s="410" t="s">
        <v>787</v>
      </c>
      <c r="F26" s="410" t="s">
        <v>747</v>
      </c>
      <c r="G26" s="410" t="s">
        <v>725</v>
      </c>
      <c r="H26" s="410" t="s">
        <v>787</v>
      </c>
      <c r="I26" s="410" t="s">
        <v>912</v>
      </c>
      <c r="J26" s="183"/>
      <c r="K26" s="858"/>
      <c r="L26" s="107">
        <v>3</v>
      </c>
      <c r="M26" s="110" t="s">
        <v>109</v>
      </c>
      <c r="N26" s="111"/>
    </row>
    <row r="27" spans="1:14" ht="15.75" thickBot="1" x14ac:dyDescent="0.3">
      <c r="A27" s="113"/>
      <c r="B27" s="390"/>
      <c r="C27" s="391"/>
      <c r="D27" s="391"/>
      <c r="E27" s="391"/>
      <c r="F27" s="391"/>
      <c r="G27" s="828" t="s">
        <v>726</v>
      </c>
      <c r="H27" s="391"/>
      <c r="I27" s="828" t="s">
        <v>917</v>
      </c>
      <c r="J27" s="236"/>
      <c r="K27" s="858"/>
      <c r="L27" s="107">
        <v>3</v>
      </c>
      <c r="M27" s="112" t="s">
        <v>131</v>
      </c>
      <c r="N27" s="111"/>
    </row>
    <row r="28" spans="1:14" ht="30" x14ac:dyDescent="0.25">
      <c r="A28" s="106" t="s">
        <v>113</v>
      </c>
      <c r="B28" s="407" t="s">
        <v>873</v>
      </c>
      <c r="C28" s="408" t="s">
        <v>907</v>
      </c>
      <c r="D28" s="408" t="s">
        <v>899</v>
      </c>
      <c r="E28" s="408" t="s">
        <v>947</v>
      </c>
      <c r="F28" s="408" t="s">
        <v>897</v>
      </c>
      <c r="G28" s="408" t="s">
        <v>914</v>
      </c>
      <c r="H28" s="408" t="s">
        <v>923</v>
      </c>
      <c r="I28" s="408" t="s">
        <v>932</v>
      </c>
      <c r="J28" s="180"/>
      <c r="L28" s="107">
        <v>4</v>
      </c>
      <c r="M28" s="110" t="s">
        <v>110</v>
      </c>
      <c r="N28" s="111"/>
    </row>
    <row r="29" spans="1:14" x14ac:dyDescent="0.25">
      <c r="A29" s="109"/>
      <c r="B29" s="409" t="s">
        <v>872</v>
      </c>
      <c r="C29" s="410" t="s">
        <v>906</v>
      </c>
      <c r="D29" s="410" t="s">
        <v>898</v>
      </c>
      <c r="E29" s="410" t="s">
        <v>935</v>
      </c>
      <c r="F29" s="410" t="s">
        <v>896</v>
      </c>
      <c r="G29" s="410" t="s">
        <v>913</v>
      </c>
      <c r="H29" s="410" t="s">
        <v>924</v>
      </c>
      <c r="I29" s="410" t="s">
        <v>933</v>
      </c>
      <c r="J29" s="183" t="s">
        <v>872</v>
      </c>
      <c r="L29" s="107">
        <v>4</v>
      </c>
      <c r="M29" s="110" t="s">
        <v>111</v>
      </c>
      <c r="N29" s="111"/>
    </row>
    <row r="30" spans="1:14" ht="15.75" thickBot="1" x14ac:dyDescent="0.3">
      <c r="A30" s="109"/>
      <c r="B30" s="390"/>
      <c r="C30" s="391"/>
      <c r="D30" s="391"/>
      <c r="E30" s="391"/>
      <c r="F30" s="391"/>
      <c r="G30" s="828" t="s">
        <v>912</v>
      </c>
      <c r="H30" s="391"/>
      <c r="I30" s="828" t="s">
        <v>930</v>
      </c>
      <c r="J30" s="236"/>
      <c r="L30" s="107">
        <v>4</v>
      </c>
      <c r="M30" s="112" t="s">
        <v>132</v>
      </c>
      <c r="N30" s="111"/>
    </row>
    <row r="31" spans="1:14" ht="30" x14ac:dyDescent="0.25">
      <c r="A31" s="106" t="s">
        <v>114</v>
      </c>
      <c r="B31" s="388" t="s">
        <v>980</v>
      </c>
      <c r="C31" s="389" t="s">
        <v>980</v>
      </c>
      <c r="D31" s="389" t="s">
        <v>980</v>
      </c>
      <c r="E31" s="389" t="s">
        <v>986</v>
      </c>
      <c r="F31" s="389" t="s">
        <v>980</v>
      </c>
      <c r="G31" s="389" t="s">
        <v>989</v>
      </c>
      <c r="H31" s="389" t="s">
        <v>1054</v>
      </c>
      <c r="I31" s="389" t="s">
        <v>989</v>
      </c>
      <c r="J31" s="180"/>
      <c r="L31" s="107">
        <v>5</v>
      </c>
      <c r="M31" s="110" t="s">
        <v>129</v>
      </c>
      <c r="N31" s="111"/>
    </row>
    <row r="32" spans="1:14" ht="30" x14ac:dyDescent="0.25">
      <c r="A32" s="109"/>
      <c r="B32" s="181" t="s">
        <v>730</v>
      </c>
      <c r="C32" s="182" t="s">
        <v>730</v>
      </c>
      <c r="D32" s="182"/>
      <c r="E32" s="182"/>
      <c r="F32" s="182" t="s">
        <v>718</v>
      </c>
      <c r="G32" s="182" t="s">
        <v>990</v>
      </c>
      <c r="H32" s="182"/>
      <c r="I32" s="182" t="s">
        <v>990</v>
      </c>
      <c r="J32" s="183"/>
      <c r="L32" s="107">
        <v>5</v>
      </c>
      <c r="M32" s="110" t="s">
        <v>129</v>
      </c>
      <c r="N32" s="111"/>
    </row>
    <row r="33" spans="1:14" ht="30" x14ac:dyDescent="0.25">
      <c r="A33" s="109"/>
      <c r="B33" s="409" t="s">
        <v>1001</v>
      </c>
      <c r="C33" s="410" t="s">
        <v>1004</v>
      </c>
      <c r="D33" s="410" t="s">
        <v>1034</v>
      </c>
      <c r="E33" s="410" t="s">
        <v>1019</v>
      </c>
      <c r="F33" s="410" t="s">
        <v>1018</v>
      </c>
      <c r="G33" s="410" t="s">
        <v>1024</v>
      </c>
      <c r="H33" s="410" t="s">
        <v>1058</v>
      </c>
      <c r="I33" s="410" t="s">
        <v>1060</v>
      </c>
      <c r="J33" s="183"/>
      <c r="L33" s="107">
        <v>5</v>
      </c>
      <c r="M33" s="110" t="s">
        <v>126</v>
      </c>
      <c r="N33" s="111"/>
    </row>
    <row r="34" spans="1:14" x14ac:dyDescent="0.25">
      <c r="A34" s="109"/>
      <c r="B34" s="1312" t="s">
        <v>780</v>
      </c>
      <c r="C34" s="410" t="s">
        <v>1005</v>
      </c>
      <c r="D34" s="410" t="s">
        <v>1033</v>
      </c>
      <c r="E34" s="410" t="s">
        <v>912</v>
      </c>
      <c r="F34" s="410" t="s">
        <v>725</v>
      </c>
      <c r="G34" s="410" t="s">
        <v>787</v>
      </c>
      <c r="H34" s="410" t="s">
        <v>912</v>
      </c>
      <c r="I34" s="410" t="s">
        <v>1061</v>
      </c>
      <c r="J34" s="183"/>
      <c r="L34" s="107">
        <v>5</v>
      </c>
      <c r="M34" s="110" t="s">
        <v>109</v>
      </c>
      <c r="N34" s="111"/>
    </row>
    <row r="35" spans="1:14" ht="15.75" thickBot="1" x14ac:dyDescent="0.3">
      <c r="A35" s="109"/>
      <c r="B35" s="390"/>
      <c r="C35" s="391"/>
      <c r="D35" s="391"/>
      <c r="E35" s="394"/>
      <c r="F35" s="394"/>
      <c r="G35" s="828" t="s">
        <v>1059</v>
      </c>
      <c r="H35" s="391"/>
      <c r="I35" s="828" t="s">
        <v>1062</v>
      </c>
      <c r="J35" s="236"/>
      <c r="L35" s="107">
        <v>5</v>
      </c>
      <c r="M35" s="112" t="s">
        <v>131</v>
      </c>
      <c r="N35" s="111"/>
    </row>
    <row r="36" spans="1:14" hidden="1" x14ac:dyDescent="0.25">
      <c r="A36" s="106" t="s">
        <v>115</v>
      </c>
      <c r="B36" s="388"/>
      <c r="C36" s="389"/>
      <c r="D36" s="389"/>
      <c r="E36" s="389"/>
      <c r="F36" s="389"/>
      <c r="G36" s="389"/>
      <c r="H36" s="389"/>
      <c r="I36" s="389"/>
      <c r="J36" s="180"/>
      <c r="L36" s="107">
        <v>6</v>
      </c>
      <c r="M36" s="107" t="s">
        <v>110</v>
      </c>
    </row>
    <row r="37" spans="1:14" hidden="1" x14ac:dyDescent="0.25">
      <c r="A37" s="109"/>
      <c r="B37" s="181"/>
      <c r="C37" s="182"/>
      <c r="D37" s="182"/>
      <c r="E37" s="182"/>
      <c r="F37" s="182"/>
      <c r="G37" s="182"/>
      <c r="H37" s="182"/>
      <c r="I37" s="182"/>
      <c r="J37" s="183"/>
      <c r="L37" s="107">
        <v>6</v>
      </c>
      <c r="M37" s="107" t="s">
        <v>111</v>
      </c>
    </row>
    <row r="38" spans="1:14" ht="15.75" hidden="1" thickBot="1" x14ac:dyDescent="0.3">
      <c r="A38" s="109"/>
      <c r="B38" s="390"/>
      <c r="C38" s="391"/>
      <c r="D38" s="391"/>
      <c r="E38" s="391"/>
      <c r="F38" s="391"/>
      <c r="G38" s="391"/>
      <c r="H38" s="391"/>
      <c r="I38" s="391"/>
      <c r="J38" s="236"/>
      <c r="L38" s="107">
        <v>6</v>
      </c>
      <c r="M38" s="112" t="s">
        <v>132</v>
      </c>
    </row>
    <row r="39" spans="1:14" hidden="1" x14ac:dyDescent="0.25">
      <c r="A39" s="106" t="s">
        <v>116</v>
      </c>
      <c r="B39" s="388"/>
      <c r="C39" s="389"/>
      <c r="D39" s="389"/>
      <c r="E39" s="389"/>
      <c r="F39" s="389"/>
      <c r="G39" s="389"/>
      <c r="H39" s="389"/>
      <c r="I39" s="389"/>
      <c r="J39" s="180"/>
      <c r="L39" s="107">
        <v>7</v>
      </c>
      <c r="M39" s="108" t="s">
        <v>129</v>
      </c>
    </row>
    <row r="40" spans="1:14" hidden="1" x14ac:dyDescent="0.25">
      <c r="A40" s="109"/>
      <c r="B40" s="181"/>
      <c r="C40" s="182"/>
      <c r="D40" s="182"/>
      <c r="E40" s="182"/>
      <c r="F40" s="182"/>
      <c r="G40" s="182"/>
      <c r="H40" s="182"/>
      <c r="I40" s="182"/>
      <c r="J40" s="183"/>
      <c r="L40" s="107">
        <v>7</v>
      </c>
      <c r="M40" s="108" t="s">
        <v>129</v>
      </c>
    </row>
    <row r="41" spans="1:14" hidden="1" x14ac:dyDescent="0.25">
      <c r="A41" s="109"/>
      <c r="B41" s="181"/>
      <c r="C41" s="182"/>
      <c r="D41" s="182"/>
      <c r="E41" s="182"/>
      <c r="F41" s="182"/>
      <c r="G41" s="182"/>
      <c r="H41" s="182"/>
      <c r="I41" s="182"/>
      <c r="J41" s="183"/>
      <c r="L41" s="107">
        <v>7</v>
      </c>
      <c r="M41" s="108" t="s">
        <v>129</v>
      </c>
    </row>
    <row r="42" spans="1:14" hidden="1" x14ac:dyDescent="0.25">
      <c r="A42" s="109"/>
      <c r="B42" s="181"/>
      <c r="C42" s="182"/>
      <c r="D42" s="182"/>
      <c r="E42" s="182"/>
      <c r="F42" s="182"/>
      <c r="G42" s="182"/>
      <c r="H42" s="182"/>
      <c r="I42" s="182"/>
      <c r="J42" s="183"/>
      <c r="L42" s="107">
        <v>7</v>
      </c>
      <c r="M42" s="107" t="s">
        <v>112</v>
      </c>
    </row>
    <row r="43" spans="1:14" hidden="1" x14ac:dyDescent="0.25">
      <c r="A43" s="109"/>
      <c r="B43" s="181"/>
      <c r="C43" s="182"/>
      <c r="D43" s="182"/>
      <c r="E43" s="182"/>
      <c r="F43" s="393"/>
      <c r="G43" s="182"/>
      <c r="H43" s="182"/>
      <c r="I43" s="182"/>
      <c r="J43" s="183"/>
      <c r="L43" s="107">
        <v>7</v>
      </c>
      <c r="M43" s="107" t="s">
        <v>109</v>
      </c>
    </row>
    <row r="44" spans="1:14" ht="15.75" hidden="1" thickBot="1" x14ac:dyDescent="0.3">
      <c r="A44" s="109"/>
      <c r="B44" s="390"/>
      <c r="C44" s="391"/>
      <c r="D44" s="391"/>
      <c r="E44" s="391"/>
      <c r="F44" s="391"/>
      <c r="G44" s="391"/>
      <c r="H44" s="391"/>
      <c r="I44" s="391"/>
      <c r="J44" s="236"/>
      <c r="L44" s="107">
        <v>7</v>
      </c>
      <c r="M44" s="112" t="s">
        <v>131</v>
      </c>
    </row>
    <row r="45" spans="1:14" hidden="1" x14ac:dyDescent="0.25">
      <c r="A45" s="106" t="s">
        <v>117</v>
      </c>
      <c r="B45" s="388"/>
      <c r="C45" s="389"/>
      <c r="D45" s="389"/>
      <c r="E45" s="389"/>
      <c r="F45" s="389"/>
      <c r="G45" s="389"/>
      <c r="H45" s="389"/>
      <c r="I45" s="389"/>
      <c r="J45" s="180"/>
      <c r="L45" s="107">
        <v>8</v>
      </c>
      <c r="M45" s="107" t="s">
        <v>110</v>
      </c>
    </row>
    <row r="46" spans="1:14" hidden="1" x14ac:dyDescent="0.25">
      <c r="A46" s="109"/>
      <c r="B46" s="181"/>
      <c r="C46" s="182"/>
      <c r="D46" s="182"/>
      <c r="E46" s="182"/>
      <c r="F46" s="182"/>
      <c r="G46" s="182"/>
      <c r="H46" s="182"/>
      <c r="I46" s="182"/>
      <c r="J46" s="183"/>
      <c r="L46" s="107">
        <v>8</v>
      </c>
      <c r="M46" s="107" t="s">
        <v>111</v>
      </c>
    </row>
    <row r="47" spans="1:14" ht="15.75" hidden="1" thickBot="1" x14ac:dyDescent="0.3">
      <c r="A47" s="109"/>
      <c r="B47" s="390"/>
      <c r="C47" s="391"/>
      <c r="D47" s="391"/>
      <c r="E47" s="391"/>
      <c r="F47" s="391"/>
      <c r="G47" s="391"/>
      <c r="H47" s="391"/>
      <c r="I47" s="391"/>
      <c r="J47" s="236"/>
      <c r="L47" s="107">
        <v>8</v>
      </c>
      <c r="M47" s="112" t="s">
        <v>132</v>
      </c>
    </row>
    <row r="48" spans="1:14" hidden="1" x14ac:dyDescent="0.25">
      <c r="A48" s="106" t="s">
        <v>119</v>
      </c>
      <c r="B48" s="388"/>
      <c r="C48" s="389"/>
      <c r="D48" s="389"/>
      <c r="E48" s="389"/>
      <c r="F48" s="389"/>
      <c r="G48" s="389"/>
      <c r="H48" s="392"/>
      <c r="I48" s="392"/>
      <c r="J48" s="180"/>
      <c r="L48" s="107">
        <v>9</v>
      </c>
      <c r="M48" s="108" t="s">
        <v>126</v>
      </c>
    </row>
    <row r="49" spans="1:13" hidden="1" x14ac:dyDescent="0.25">
      <c r="A49" s="109"/>
      <c r="B49" s="181"/>
      <c r="C49" s="182"/>
      <c r="D49" s="182"/>
      <c r="E49" s="182"/>
      <c r="F49" s="182"/>
      <c r="G49" s="182"/>
      <c r="H49" s="182"/>
      <c r="I49" s="182"/>
      <c r="J49" s="183"/>
      <c r="L49" s="107">
        <v>9</v>
      </c>
      <c r="M49" s="108" t="s">
        <v>129</v>
      </c>
    </row>
    <row r="50" spans="1:13" hidden="1" x14ac:dyDescent="0.25">
      <c r="A50" s="109"/>
      <c r="B50" s="181"/>
      <c r="C50" s="182"/>
      <c r="D50" s="182"/>
      <c r="E50" s="182"/>
      <c r="F50" s="182"/>
      <c r="G50" s="182"/>
      <c r="H50" s="182"/>
      <c r="I50" s="182"/>
      <c r="J50" s="183"/>
      <c r="L50" s="107">
        <v>9</v>
      </c>
      <c r="M50" s="108" t="s">
        <v>129</v>
      </c>
    </row>
    <row r="51" spans="1:13" hidden="1" x14ac:dyDescent="0.25">
      <c r="A51" s="109"/>
      <c r="B51" s="181"/>
      <c r="C51" s="182"/>
      <c r="D51" s="182"/>
      <c r="E51" s="182"/>
      <c r="F51" s="182"/>
      <c r="G51" s="182"/>
      <c r="H51" s="182"/>
      <c r="I51" s="182"/>
      <c r="J51" s="183"/>
      <c r="L51" s="107">
        <v>9</v>
      </c>
      <c r="M51" s="108" t="s">
        <v>129</v>
      </c>
    </row>
    <row r="52" spans="1:13" hidden="1" x14ac:dyDescent="0.25">
      <c r="A52" s="109"/>
      <c r="B52" s="181"/>
      <c r="C52" s="182"/>
      <c r="D52" s="182"/>
      <c r="E52" s="182"/>
      <c r="F52" s="182"/>
      <c r="G52" s="182"/>
      <c r="H52" s="182"/>
      <c r="I52" s="182"/>
      <c r="J52" s="183"/>
      <c r="L52" s="107">
        <v>9</v>
      </c>
      <c r="M52" s="108" t="s">
        <v>129</v>
      </c>
    </row>
    <row r="53" spans="1:13" hidden="1" x14ac:dyDescent="0.25">
      <c r="A53" s="109"/>
      <c r="B53" s="181"/>
      <c r="C53" s="182"/>
      <c r="D53" s="182"/>
      <c r="E53" s="182"/>
      <c r="F53" s="182"/>
      <c r="G53" s="182"/>
      <c r="H53" s="182"/>
      <c r="I53" s="182"/>
      <c r="J53" s="183"/>
      <c r="L53" s="107">
        <v>9</v>
      </c>
      <c r="M53" s="107" t="s">
        <v>109</v>
      </c>
    </row>
    <row r="54" spans="1:13" ht="15.75" hidden="1" thickBot="1" x14ac:dyDescent="0.3">
      <c r="A54" s="109"/>
      <c r="B54" s="390"/>
      <c r="C54" s="391"/>
      <c r="D54" s="391"/>
      <c r="E54" s="391"/>
      <c r="F54" s="391"/>
      <c r="G54" s="391"/>
      <c r="H54" s="391"/>
      <c r="I54" s="391"/>
      <c r="J54" s="236"/>
      <c r="L54" s="107">
        <v>9</v>
      </c>
      <c r="M54" s="112" t="s">
        <v>131</v>
      </c>
    </row>
    <row r="55" spans="1:13" hidden="1" x14ac:dyDescent="0.25">
      <c r="A55" s="106" t="s">
        <v>118</v>
      </c>
      <c r="B55" s="388"/>
      <c r="C55" s="389"/>
      <c r="D55" s="389"/>
      <c r="E55" s="389"/>
      <c r="F55" s="389"/>
      <c r="G55" s="389"/>
      <c r="H55" s="389"/>
      <c r="I55" s="389"/>
      <c r="J55" s="180"/>
      <c r="L55" s="107">
        <v>10</v>
      </c>
      <c r="M55" s="107" t="s">
        <v>110</v>
      </c>
    </row>
    <row r="56" spans="1:13" hidden="1" x14ac:dyDescent="0.25">
      <c r="A56" s="109"/>
      <c r="B56" s="181"/>
      <c r="C56" s="182"/>
      <c r="D56" s="182"/>
      <c r="E56" s="182"/>
      <c r="F56" s="182"/>
      <c r="G56" s="182"/>
      <c r="H56" s="182"/>
      <c r="I56" s="182"/>
      <c r="J56" s="183"/>
      <c r="L56" s="107">
        <v>10</v>
      </c>
      <c r="M56" s="107" t="s">
        <v>111</v>
      </c>
    </row>
    <row r="57" spans="1:13" ht="15.75" hidden="1" thickBot="1" x14ac:dyDescent="0.3">
      <c r="A57" s="113"/>
      <c r="B57" s="390"/>
      <c r="C57" s="391"/>
      <c r="D57" s="391"/>
      <c r="E57" s="391"/>
      <c r="F57" s="391"/>
      <c r="G57" s="391"/>
      <c r="H57" s="391"/>
      <c r="I57" s="391"/>
      <c r="J57" s="236"/>
      <c r="L57" s="107">
        <v>10</v>
      </c>
      <c r="M57" s="112" t="s">
        <v>132</v>
      </c>
    </row>
  </sheetData>
  <autoFilter ref="A1:M57" xr:uid="{00000000-0009-0000-0000-000004000000}">
    <filterColumn colId="11">
      <filters>
        <filter val="1"/>
        <filter val="2"/>
        <filter val="3"/>
        <filter val="4"/>
        <filter val="5"/>
      </filters>
    </filterColumn>
  </autoFilter>
  <hyperlinks>
    <hyperlink ref="B7" r:id="rId1" display="Background = Student of the Canon" xr:uid="{E55C0BBF-03B0-492B-BE93-1BB93E889FAA}"/>
    <hyperlink ref="C7" r:id="rId2" display="Background = ?" xr:uid="{2C8DFCEB-4C43-4FBC-B2FA-C58F88953CA9}"/>
    <hyperlink ref="F7" r:id="rId3" display="Background = Int" xr:uid="{3B212C80-E8EC-4C26-8619-3C3A6FE14F82}"/>
    <hyperlink ref="H7" r:id="rId4" display="Background = Int" xr:uid="{0BDA00A0-2B61-43B3-97E4-2F11889F49FC}"/>
    <hyperlink ref="G7" r:id="rId5" xr:uid="{EE76CB15-B393-46FF-B2B8-5250B93852A7}"/>
    <hyperlink ref="F4" r:id="rId6" display="https://2e.aonprd.com/Backgrounds.aspx?ID=42" xr:uid="{29E4A7C7-418F-45CE-8CEA-4EACEB0FE9A4}"/>
    <hyperlink ref="C4" r:id="rId7" display="https://2e.aonprd.com/Backgrounds.aspx?ID=50" xr:uid="{52B85F0B-5B8D-4B50-A197-9B349FB352BC}"/>
    <hyperlink ref="B4" r:id="rId8" display="https://2e.aonprd.com/Backgrounds.aspx?ID=44" xr:uid="{87EBC7FC-484C-42B1-878A-B757449157FC}"/>
    <hyperlink ref="G4" r:id="rId9" display="https://2e.aonprd.com/Backgrounds.aspx?ID=49" xr:uid="{58008DB1-C96A-4E0E-9FF4-500130C7AFFD}"/>
    <hyperlink ref="H4" r:id="rId10" display="?" xr:uid="{8E0F7AF8-1C22-49D9-A702-38E882C0890F}"/>
    <hyperlink ref="G5" r:id="rId11" xr:uid="{12A0B7F4-7ED8-408C-8B66-88E70C5667F7}"/>
    <hyperlink ref="B5" r:id="rId12" xr:uid="{22ED386E-10CD-4F8E-863C-8A03BCC7E757}"/>
    <hyperlink ref="F5" r:id="rId13" xr:uid="{CE180880-7DD8-4984-93ED-4B41FC635CD5}"/>
    <hyperlink ref="B2" r:id="rId14" display="https://2e.aonprd.com/Ancestries.aspx?ID=4" xr:uid="{6A81CE88-3A2E-479B-87C7-79194149E913}"/>
    <hyperlink ref="C2" r:id="rId15" display="https://2e.aonprd.com/Ancestries.aspx?ID=2" xr:uid="{C2539221-F0DA-4E4E-981A-0A107AB36E8F}"/>
    <hyperlink ref="F2" r:id="rId16" display="https://2e.aonprd.com/Ancestries.aspx?ID=2" xr:uid="{C2E1579D-73D9-4BA1-B55F-4222B600691F}"/>
    <hyperlink ref="G2" r:id="rId17" display="https://2e.aonprd.com/Ancestries.aspx?ID=2" xr:uid="{A0E5F954-6EF8-4965-A526-70B0E799260B}"/>
    <hyperlink ref="H2" r:id="rId18" display="https://2e.aonprd.com/Ancestries.aspx?ID=6" xr:uid="{0EA2E46F-D4BF-47B5-9692-E5FA0036B875}"/>
    <hyperlink ref="E2" r:id="rId19" xr:uid="{7D3F2950-ECA2-47EC-B259-A750B8D5FDD4}"/>
    <hyperlink ref="G3" r:id="rId20" xr:uid="{BB8C2291-CC25-4000-9C92-2A506B95C2F9}"/>
    <hyperlink ref="B3" r:id="rId21" xr:uid="{C806923E-6975-4492-A029-445FD6D23FBA}"/>
    <hyperlink ref="B11" r:id="rId22" xr:uid="{F7FF7FA6-C53E-4A4C-AEF9-5AB3A50D5419}"/>
    <hyperlink ref="H11" r:id="rId23" xr:uid="{F29671F3-EA65-42C1-873C-24BA583165C9}"/>
    <hyperlink ref="B10" r:id="rId24" xr:uid="{DBA3D70F-65D6-41E8-93B1-850BAA941EFB}"/>
    <hyperlink ref="C10" r:id="rId25" xr:uid="{344D3CDC-6B4C-450B-BBA5-329121344D68}"/>
    <hyperlink ref="E10" r:id="rId26" xr:uid="{8E61229F-38F8-454E-8158-BD68956030FC}"/>
    <hyperlink ref="H10" r:id="rId27" xr:uid="{EEA5E4BA-50D0-4ACC-B5E1-083E5BDC50CA}"/>
    <hyperlink ref="G12" r:id="rId28" xr:uid="{66E6F797-0D8E-4908-8F24-1BE4E6E0A914}"/>
    <hyperlink ref="G17" r:id="rId29" display="Create a Diversion" xr:uid="{B545D7F8-73F8-445F-BB60-0C78D9117719}"/>
    <hyperlink ref="B15" r:id="rId30" display="Order = Animal Companion" xr:uid="{10089414-5570-41B9-9F4D-D7C7A183B73C}"/>
    <hyperlink ref="F15" r:id="rId31" xr:uid="{683F98A6-607F-4E05-A6B9-34861CF8E0D6}"/>
    <hyperlink ref="G8" r:id="rId32" xr:uid="{13968C11-6623-483A-B712-2F640AC47CC6}"/>
    <hyperlink ref="B8" r:id="rId33" xr:uid="{BFAD2295-C95A-4E90-875C-1DB05D8903DE}"/>
    <hyperlink ref="E8" r:id="rId34" xr:uid="{04927E0A-A68C-416C-86B7-EB6B7EE106E7}"/>
    <hyperlink ref="C8" r:id="rId35" display="https://2e.aonprd.com/ArcaneSchools.aspx?ID=4" xr:uid="{90BCB651-FF7F-4C27-B61C-EB122390F1EB}"/>
    <hyperlink ref="C9" r:id="rId36" display="Arcane thesis = Improved Familiar Attunement" xr:uid="{12BB8DC7-9E62-4863-8486-5C6BCB9DB983}"/>
    <hyperlink ref="F9" r:id="rId37" xr:uid="{D306B4F8-5EE7-45B7-B277-1D69DEE49846}"/>
    <hyperlink ref="F8" r:id="rId38" display="https://2e.aonprd.com/Doctrines.aspx?ID=" xr:uid="{5ABA8F6D-3B9F-4411-AB2D-924978ABDAE4}"/>
    <hyperlink ref="G16" r:id="rId39" display="https://2e.aonprd.com/ArcaneThesis.aspx" xr:uid="{C7D75970-82E1-4102-94BF-6C8A7F0E457B}"/>
    <hyperlink ref="E16" r:id="rId40" xr:uid="{806AB8B9-8313-446E-88C6-BDF3463EFC8C}"/>
    <hyperlink ref="E7" r:id="rId41" xr:uid="{46FD5D1D-37C5-42B6-BED9-881ADB7DF6BC}"/>
    <hyperlink ref="E11" r:id="rId42" xr:uid="{10ACA220-73B4-4B4D-9F1B-402C8701F8E6}"/>
    <hyperlink ref="E4" r:id="rId43" xr:uid="{03446A2B-1B56-4C56-8E3A-A5301F7A89BE}"/>
    <hyperlink ref="E3" r:id="rId44" xr:uid="{07D2568E-6F72-4638-ADED-C097683712FD}"/>
    <hyperlink ref="E5" r:id="rId45" xr:uid="{9440FB4A-C5DB-4FDD-85EF-01B47E0A7440}"/>
    <hyperlink ref="C15" r:id="rId46" display="Thesis = Familiar" xr:uid="{CD0E4287-8B28-4A05-A08E-87DFFF5AD590}"/>
    <hyperlink ref="C3" r:id="rId47" xr:uid="{65CD33E4-8327-44AB-B8DF-BCCD346A3D1A}"/>
    <hyperlink ref="C1" r:id="rId48" location="id=2533454" display="Zabraarallongex" xr:uid="{4217B7B5-C78C-4F9E-B782-693F031F5033}"/>
    <hyperlink ref="B1" r:id="rId49" location="id=2533415" xr:uid="{7B91CC85-9085-4D42-9AE3-6093D11E2D3E}"/>
    <hyperlink ref="H1" r:id="rId50" location="id=2535463" xr:uid="{22931588-B407-4932-8C98-851F1DFDB5C1}"/>
    <hyperlink ref="G1" r:id="rId51" location="id=2538135" xr:uid="{D1F40612-0851-44AB-A3D8-68ABE62FC3FB}"/>
    <hyperlink ref="F1" r:id="rId52" location="id=2534175" xr:uid="{D718F052-CD86-4B28-ACC8-9C3419165290}"/>
    <hyperlink ref="E1" r:id="rId53" location="id=2027709" xr:uid="{F6CD43CB-F20E-4EB1-A6C5-749BF6B86A63}"/>
    <hyperlink ref="H3" r:id="rId54" xr:uid="{C32BF4D8-EAAC-480C-8433-104FBD37DF87}"/>
    <hyperlink ref="H5" r:id="rId55" display="Versatile = Natural Ambition = Power Attack" xr:uid="{C0D3515A-E06E-4F63-8DD9-8207FE3DC26D}"/>
    <hyperlink ref="J5" r:id="rId56" xr:uid="{A3712991-A427-4327-B204-7A0A14258595}"/>
    <hyperlink ref="H16" r:id="rId57" xr:uid="{32C0F9CF-E1B4-44CF-B44E-BFD50439E2C7}"/>
    <hyperlink ref="C5" r:id="rId58" xr:uid="{CDDAA2B8-32CE-4284-B114-5F682A983B20}"/>
    <hyperlink ref="B18" r:id="rId59" xr:uid="{7B136933-7235-4EB5-9CA3-183B30571DED}"/>
    <hyperlink ref="B19" r:id="rId60" display="Order Explorer (Fire)" xr:uid="{33F220C7-FA60-48EA-8B82-61084332DF41}"/>
    <hyperlink ref="B20" r:id="rId61" xr:uid="{13843028-446D-4C22-898E-1338627BF3B9}"/>
    <hyperlink ref="F18" r:id="rId62" display="Battle Medic (T Midicine)" xr:uid="{157CB796-7035-4337-AD30-3C97DCD54778}"/>
    <hyperlink ref="F19" r:id="rId63" xr:uid="{6D8F2A33-3451-44B7-B9FC-25DA9F1D3FB5}"/>
    <hyperlink ref="C19" r:id="rId64" xr:uid="{E2C065EB-A00B-4901-ADCE-D0098D8BFB92}"/>
    <hyperlink ref="C18" r:id="rId65" display="Recognize Spell (T Arcane)" xr:uid="{F54E82E9-8302-4EE1-A902-D413DD7AD9E5}"/>
    <hyperlink ref="C11" r:id="rId66" xr:uid="{4835EC10-FE98-4B67-AF4B-0A75E74A751B}"/>
    <hyperlink ref="H19" r:id="rId67" xr:uid="{22B44B98-D18B-45D5-8D27-1122D9A785F9}"/>
    <hyperlink ref="H18" r:id="rId68" display="Hefty Hauler" xr:uid="{8AA24F05-7A27-4C64-B24B-3708B8F995EE}"/>
    <hyperlink ref="D2" r:id="rId69" display="https://2e.aonprd.com/Ancestries.aspx?ID=6" xr:uid="{C6C1B4A7-0B32-4617-ADB1-B51FA4AE5ABD}"/>
    <hyperlink ref="D1" r:id="rId70" location="id=2544341" xr:uid="{AAED8F33-3334-4C6C-B73D-A99AE22207CC}"/>
    <hyperlink ref="D4" r:id="rId71" xr:uid="{3C1E6F53-D169-432D-B436-A13A1FFF9F14}"/>
    <hyperlink ref="D7" r:id="rId72" xr:uid="{0329E019-FFA5-49A1-8F60-846BF5FFAC66}"/>
    <hyperlink ref="D5" r:id="rId73" xr:uid="{74D1359D-D591-45F8-B1DA-510D92484E5C}"/>
    <hyperlink ref="D12" r:id="rId74" xr:uid="{203827CB-055D-43E3-894F-EDF8FBC8579D}"/>
    <hyperlink ref="D16" r:id="rId75" xr:uid="{25A24A2B-084B-4E26-9787-99538B9E25A2}"/>
    <hyperlink ref="D19" r:id="rId76" xr:uid="{898C2548-712F-494F-A055-C3A78F033EE4}"/>
    <hyperlink ref="G18" r:id="rId77" xr:uid="{3BD83CC7-A47F-4D20-B158-68B874E73604}"/>
    <hyperlink ref="G19" r:id="rId78" xr:uid="{9E99046D-CF8C-47F0-9EDC-0524243E54C8}"/>
    <hyperlink ref="G21" r:id="rId79" xr:uid="{BFF8605B-6C61-4529-BA89-33A7FCC8910F}"/>
    <hyperlink ref="D18" r:id="rId80" display="Quick Repair" xr:uid="{E84D32BF-4543-478B-BEC4-87F692267EAE}"/>
    <hyperlink ref="D14" r:id="rId81" xr:uid="{1A759EFA-7EC2-40C1-ACD6-41B043F02538}"/>
    <hyperlink ref="C14" r:id="rId82" xr:uid="{33E32C37-B68A-4228-9FB4-79DC287A91FF}"/>
    <hyperlink ref="F14" r:id="rId83" xr:uid="{FE680819-1504-4C88-9EAE-F632012C77BD}"/>
    <hyperlink ref="B14" r:id="rId84" display="Primal spontaneous spellcasting" xr:uid="{0C28FBE6-747D-4DA9-8EDE-D5B078A48646}"/>
    <hyperlink ref="D15" r:id="rId85" xr:uid="{110B9BFA-4E59-491C-A5E2-7BD28C6DB5AC}"/>
    <hyperlink ref="D8" r:id="rId86" xr:uid="{4CE38CAC-3650-46F1-8488-14EB420B0C37}"/>
    <hyperlink ref="G26" r:id="rId87" xr:uid="{0B011F55-1542-4D72-9432-28973A26E41B}"/>
    <hyperlink ref="G27" r:id="rId88" display="Bon Mot" xr:uid="{EC417A7B-3989-4981-BC06-F6E79D193F4B}"/>
    <hyperlink ref="G25" r:id="rId89" xr:uid="{8634867D-CBB6-4AD1-99E8-62B916DA5FA5}"/>
    <hyperlink ref="F26" r:id="rId90" xr:uid="{59D19532-2E98-4196-8720-C31A5D05A602}"/>
    <hyperlink ref="F3" r:id="rId91" xr:uid="{92E73447-57E6-4889-BFF1-51E7988F1FF4}"/>
    <hyperlink ref="F25" r:id="rId92" xr:uid="{F16EBD4C-1A51-49BC-9F2D-D193993DDE81}"/>
    <hyperlink ref="B25" r:id="rId93" xr:uid="{C04934F2-EB0D-4231-9DA0-CC57B49BB544}"/>
    <hyperlink ref="B26" r:id="rId94" xr:uid="{4C648FDE-8F6C-4BF2-B7EE-622E3FF5E814}"/>
    <hyperlink ref="D26" r:id="rId95" xr:uid="{35E39FAD-D730-4C8D-90B7-9F534620FE05}"/>
    <hyperlink ref="D25" r:id="rId96" xr:uid="{A853CB5C-90D0-4A44-8345-D16824467072}"/>
    <hyperlink ref="C26" r:id="rId97" xr:uid="{D333B9C7-9BF0-4BBB-92DE-B343831270E3}"/>
    <hyperlink ref="C25" r:id="rId98" display="Canny Acumen" xr:uid="{B3B4BF0C-69F1-4421-B15D-07E2739E783D}"/>
    <hyperlink ref="H26" r:id="rId99" xr:uid="{65F9E612-EBBA-449D-B715-13B8A849DC8F}"/>
    <hyperlink ref="H25" r:id="rId100" xr:uid="{00C9A6F8-7B72-446C-936F-C06CC757C204}"/>
    <hyperlink ref="H15" r:id="rId101" xr:uid="{F21ADB1C-D2C2-4BED-B4C5-6C16AAA119C0}"/>
    <hyperlink ref="E19" r:id="rId102" xr:uid="{8EDAEEF7-77D0-472A-AD45-36BF832822F0}"/>
    <hyperlink ref="E18" r:id="rId103" display="Quick Jump" xr:uid="{EA4F6119-9E62-4945-A831-123E184B3A1B}"/>
    <hyperlink ref="I2" r:id="rId104" display="https://2e.aonprd.com/Ancestries.aspx?ID=4" xr:uid="{CE0B9E6E-D70A-49CF-9015-2FD420830373}"/>
    <hyperlink ref="I3" r:id="rId105" xr:uid="{2AB59B10-D686-4B19-B8FE-55B38A1C19B5}"/>
    <hyperlink ref="I4" r:id="rId106" xr:uid="{A7D90D21-C8F3-4571-94AC-4A2DB93A4322}"/>
    <hyperlink ref="I7" r:id="rId107" xr:uid="{A1F845EC-ED77-4E5C-B14D-1E76429C75AC}"/>
    <hyperlink ref="I5" r:id="rId108" xr:uid="{BAB833E6-79E0-4268-B11E-1FFE2CC2DF03}"/>
    <hyperlink ref="I16" r:id="rId109" display="https://2e.aonprd.com/ArcaneThesis.aspx" xr:uid="{46BB08F4-1DDC-4BFD-9036-E27C36F56CDE}"/>
    <hyperlink ref="I8" r:id="rId110" xr:uid="{443B1203-312D-4687-8D15-1C9AF42476EA}"/>
    <hyperlink ref="I12" r:id="rId111" display="Racket = Dex damage on finesse" xr:uid="{E16020AF-7DBD-45A0-BF4F-A311AD43AF3F}"/>
    <hyperlink ref="I21" r:id="rId112" xr:uid="{6A767096-281F-4652-BEED-E78D15D940F1}"/>
    <hyperlink ref="I19" r:id="rId113" xr:uid="{66216D8A-6CF8-4F0B-B8C1-B28D249150DF}"/>
    <hyperlink ref="I17" r:id="rId114" xr:uid="{674F8947-25E0-4947-8722-D997F337C8EC}"/>
    <hyperlink ref="I18" r:id="rId115" xr:uid="{6E470AD1-4A0D-4EE3-9511-7C5CB7EBF986}"/>
    <hyperlink ref="I1" r:id="rId116" location="id=2561941" xr:uid="{9B60B2D4-C7EB-41DE-840F-143F2DDB92B1}"/>
    <hyperlink ref="B29" r:id="rId117" xr:uid="{C40884FD-B378-4E4E-BEAD-C119EA09AA91}"/>
    <hyperlink ref="B28" r:id="rId118" display="Additional Lore (Dahak)" xr:uid="{695D4770-8991-435C-BF48-773E3B577265}"/>
    <hyperlink ref="J29" r:id="rId119" xr:uid="{C1E4685E-2FDA-41B1-8DDE-EDAA755D64DF}"/>
    <hyperlink ref="C29" r:id="rId120" xr:uid="{0E342216-70CE-4F6E-9EFC-98F69F1C0231}"/>
    <hyperlink ref="F29" r:id="rId121" xr:uid="{B29ED5BC-18F2-476B-8E87-826989336D08}"/>
    <hyperlink ref="F28" r:id="rId122" xr:uid="{8743985D-0ACF-4C5C-9CBB-8A9AC3CEA385}"/>
    <hyperlink ref="D29" r:id="rId123" xr:uid="{CFF5BC84-F712-4F7F-BDC9-78EB184C3B2E}"/>
    <hyperlink ref="D28" r:id="rId124" xr:uid="{B16A8312-994F-402B-BC38-32600A4DDA0E}"/>
    <hyperlink ref="C28" r:id="rId125" xr:uid="{CF6D6732-8B29-48A6-B6A1-AA6682F0E6CB}"/>
    <hyperlink ref="I27" r:id="rId126" display="Assurance: Acrobatics" xr:uid="{1DEA2E33-A24A-422F-ADCE-7D8080EE8BAE}"/>
    <hyperlink ref="G29" r:id="rId127" xr:uid="{7FB6E500-D9FE-47D5-A445-9FB8C3470C02}"/>
    <hyperlink ref="G30" r:id="rId128" xr:uid="{77A0A090-B610-4998-8A6C-8DEF90A79980}"/>
    <hyperlink ref="G28" r:id="rId129" xr:uid="{646BFF09-B4A3-46F4-B788-3EC8BFE84B55}"/>
    <hyperlink ref="E26" r:id="rId130" xr:uid="{E8BE80BD-D9D6-42EF-B50A-BB34A54442C6}"/>
    <hyperlink ref="H28" r:id="rId131" xr:uid="{743D3458-BF33-4A3C-9EF0-F893B42EF284}"/>
    <hyperlink ref="I25" r:id="rId132" xr:uid="{DE47D83F-6F1A-4043-8521-E4577FF62AFF}"/>
    <hyperlink ref="E25" r:id="rId133" xr:uid="{3C4CB1DF-56A3-4717-B1FB-7D8E411A19DB}"/>
    <hyperlink ref="I26" r:id="rId134" xr:uid="{2F3A733F-ACC6-409D-80D8-D95604065700}"/>
    <hyperlink ref="H29" r:id="rId135" xr:uid="{B345DF18-B330-456C-BA53-E70BAC31D52F}"/>
    <hyperlink ref="I30" r:id="rId136" xr:uid="{B61E52E2-EE10-4291-8D87-81F8BD39B461}"/>
    <hyperlink ref="I28" r:id="rId137" xr:uid="{57B9A319-19B1-465C-A6A5-2EDD39838999}"/>
    <hyperlink ref="I29" r:id="rId138" xr:uid="{38ACBBC0-7BBF-4971-A263-646C46BB346B}"/>
    <hyperlink ref="E29" r:id="rId139" xr:uid="{B29B1A4A-1E88-4ED2-BA10-7CAB897825F5}"/>
    <hyperlink ref="E28" r:id="rId140" xr:uid="{89F0225F-96CF-47AE-BA1A-80F0DB1488D3}"/>
    <hyperlink ref="B34" r:id="rId141" xr:uid="{736D4909-C1A9-4FB9-8316-7F2CDCD50482}"/>
    <hyperlink ref="B33" r:id="rId142" xr:uid="{3F0241F8-D2EF-432D-98F2-61A13CFBA5D9}"/>
    <hyperlink ref="C33" r:id="rId143" xr:uid="{A1557E12-916A-4A1E-888F-5E2F2A51CA5B}"/>
    <hyperlink ref="C34" r:id="rId144" xr:uid="{461F26EE-DD55-4274-A966-BA830467FBAA}"/>
    <hyperlink ref="F34" r:id="rId145" xr:uid="{120A64FA-470D-4500-9081-B81A0E00EF61}"/>
    <hyperlink ref="F33" r:id="rId146" xr:uid="{498EA4BD-5E68-4F26-AB15-9542D24DD089}"/>
    <hyperlink ref="E33" r:id="rId147" xr:uid="{9ECB2984-3A9B-49EE-A4DA-A663E2FB82E2}"/>
    <hyperlink ref="E34" r:id="rId148" xr:uid="{422D4927-3C46-405F-A15C-E4A224B219D5}"/>
    <hyperlink ref="G34" r:id="rId149" xr:uid="{2BB54C9A-F93C-49A9-A0C1-A6B962C7D8D6}"/>
    <hyperlink ref="G33" r:id="rId150" xr:uid="{E86EB71A-CC0A-4F0F-AA2E-B27EB7694597}"/>
    <hyperlink ref="G35" r:id="rId151" display="Powerful Leap E (Athletics)" xr:uid="{677668B4-49D4-44E4-9CA3-031C2AC189FB}"/>
    <hyperlink ref="D34" r:id="rId152" xr:uid="{AD79165B-A294-40B1-AEC9-A8A74DD9A2FB}"/>
    <hyperlink ref="D33" r:id="rId153" xr:uid="{2C576B95-2250-4E86-B3B3-F478285C8D35}"/>
    <hyperlink ref="H34" r:id="rId154" xr:uid="{AFDBE7B7-B543-4387-BF4F-C92CE7ACE7E9}"/>
    <hyperlink ref="H33" r:id="rId155" display="Feather Step" xr:uid="{DF2C404A-6463-4D90-8808-5ABF6B4CA054}"/>
    <hyperlink ref="I33" r:id="rId156" xr:uid="{C3BDDD92-9D93-4635-9528-45B01A57C2DA}"/>
    <hyperlink ref="I34" r:id="rId157" display="https://2e.aonprd.com/Skills.aspx?ID=7" xr:uid="{F5F9BFEA-7BAB-420F-BC47-1A5A6875A724}"/>
    <hyperlink ref="I35" r:id="rId158" xr:uid="{3B95F39B-E25B-4D80-ADB2-F994C67D9F3C}"/>
  </hyperlinks>
  <pageMargins left="0.7" right="0.7" top="0.75" bottom="0.75" header="0" footer="0"/>
  <pageSetup paperSize="9" orientation="portrait" r:id="rId15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450A-B5DE-49F6-AE8B-28BAC7986233}">
  <dimension ref="A1:K178"/>
  <sheetViews>
    <sheetView showGridLines="0" workbookViewId="0">
      <pane xSplit="1" ySplit="1" topLeftCell="B45" activePane="bottomRight" state="frozen"/>
      <selection activeCell="H534" sqref="H534"/>
      <selection pane="topRight" activeCell="H534" sqref="H534"/>
      <selection pane="bottomLeft" activeCell="H534" sqref="H534"/>
      <selection pane="bottomRight" activeCell="H534" sqref="H534"/>
    </sheetView>
  </sheetViews>
  <sheetFormatPr baseColWidth="10" defaultColWidth="11.42578125" defaultRowHeight="15" outlineLevelRow="1" outlineLevelCol="1" x14ac:dyDescent="0.25"/>
  <cols>
    <col min="1" max="1" width="23.7109375" style="6" customWidth="1"/>
    <col min="2" max="3" width="33.42578125" style="6" customWidth="1"/>
    <col min="4" max="4" width="33.42578125" style="460" customWidth="1"/>
    <col min="5" max="5" width="8" style="31" hidden="1" customWidth="1" outlineLevel="1"/>
    <col min="6" max="6" width="33.42578125" style="6" customWidth="1" collapsed="1"/>
    <col min="7" max="7" width="33.42578125" style="6" hidden="1" customWidth="1" outlineLevel="1"/>
    <col min="8" max="8" width="8" style="6" hidden="1" customWidth="1" outlineLevel="1"/>
    <col min="9" max="9" width="8" style="460" hidden="1" customWidth="1" outlineLevel="1" collapsed="1"/>
    <col min="10" max="10" width="11.42578125" style="6" collapsed="1"/>
    <col min="11" max="16384" width="11.42578125" style="6"/>
  </cols>
  <sheetData>
    <row r="1" spans="1:9" ht="15.75" thickBot="1" x14ac:dyDescent="0.3">
      <c r="A1" s="300" t="s">
        <v>157</v>
      </c>
      <c r="B1" s="363" t="s">
        <v>154</v>
      </c>
      <c r="C1" s="301" t="s">
        <v>1025</v>
      </c>
      <c r="D1" s="817" t="s">
        <v>659</v>
      </c>
      <c r="E1" s="405" t="s">
        <v>266</v>
      </c>
      <c r="F1" s="302" t="s">
        <v>155</v>
      </c>
      <c r="G1" s="302" t="s">
        <v>204</v>
      </c>
      <c r="H1" s="301" t="s">
        <v>156</v>
      </c>
      <c r="I1" s="1143" t="s">
        <v>840</v>
      </c>
    </row>
    <row r="2" spans="1:9" s="460" customFormat="1" ht="15.75" thickBot="1" x14ac:dyDescent="0.3">
      <c r="A2" s="300" t="s">
        <v>570</v>
      </c>
      <c r="B2" s="366">
        <f>Skills!B70</f>
        <v>4</v>
      </c>
      <c r="C2" s="367">
        <f>Skills!C70</f>
        <v>4</v>
      </c>
      <c r="D2" s="367">
        <f>Skills!D70</f>
        <v>4</v>
      </c>
      <c r="E2" s="832">
        <f>Skills!E70</f>
        <v>4</v>
      </c>
      <c r="F2" s="367">
        <f>Skills!F70</f>
        <v>4</v>
      </c>
      <c r="G2" s="367">
        <f>Skills!G70</f>
        <v>4</v>
      </c>
      <c r="H2" s="367">
        <f>Skills!H70</f>
        <v>4</v>
      </c>
      <c r="I2" s="368">
        <f>Skills!I70</f>
        <v>4</v>
      </c>
    </row>
    <row r="3" spans="1:9" s="460" customFormat="1" ht="15.75" thickBot="1" x14ac:dyDescent="0.3">
      <c r="A3" s="300" t="s">
        <v>102</v>
      </c>
      <c r="B3" s="1195" t="s">
        <v>152</v>
      </c>
      <c r="C3" s="1196" t="s">
        <v>460</v>
      </c>
      <c r="D3" s="1196" t="s">
        <v>663</v>
      </c>
      <c r="E3" s="1197"/>
      <c r="F3" s="1196" t="s">
        <v>85</v>
      </c>
      <c r="G3" s="1198"/>
      <c r="H3" s="1198"/>
      <c r="I3" s="1199"/>
    </row>
    <row r="4" spans="1:9" ht="15.75" thickBot="1" x14ac:dyDescent="0.3">
      <c r="A4" s="300" t="s">
        <v>456</v>
      </c>
      <c r="B4" s="366">
        <f>INT(('Dés de vie'!B13+1)/2)</f>
        <v>3</v>
      </c>
      <c r="C4" s="367">
        <f>INT(('Dés de vie'!C13+1)/2)</f>
        <v>3</v>
      </c>
      <c r="D4" s="367">
        <f>INT(('Dés de vie'!D13+1)/2)</f>
        <v>3</v>
      </c>
      <c r="E4" s="832"/>
      <c r="F4" s="367">
        <f>INT(('Dés de vie'!F13+1)/2)</f>
        <v>3</v>
      </c>
      <c r="G4" s="367">
        <f>INT(('Dés de vie'!G13+1)/2)</f>
        <v>3</v>
      </c>
      <c r="H4" s="367"/>
      <c r="I4" s="368"/>
    </row>
    <row r="5" spans="1:9" x14ac:dyDescent="0.25">
      <c r="A5" s="403" t="s">
        <v>437</v>
      </c>
      <c r="B5" s="1277" t="s">
        <v>458</v>
      </c>
      <c r="C5" s="833" t="s">
        <v>998</v>
      </c>
      <c r="D5" s="833">
        <v>5</v>
      </c>
      <c r="E5" s="833"/>
      <c r="F5" s="357" t="s">
        <v>458</v>
      </c>
      <c r="G5" s="357">
        <v>1</v>
      </c>
      <c r="H5" s="371"/>
      <c r="I5" s="372"/>
    </row>
    <row r="6" spans="1:9" x14ac:dyDescent="0.25">
      <c r="A6" s="397" t="s">
        <v>438</v>
      </c>
      <c r="B6" s="1278" t="s">
        <v>458</v>
      </c>
      <c r="C6" s="1290" t="s">
        <v>999</v>
      </c>
      <c r="D6" s="1290" t="s">
        <v>1045</v>
      </c>
      <c r="E6" s="834"/>
      <c r="F6" s="375" t="s">
        <v>458</v>
      </c>
      <c r="G6" s="375"/>
      <c r="H6" s="374"/>
      <c r="I6" s="376"/>
    </row>
    <row r="7" spans="1:9" x14ac:dyDescent="0.25">
      <c r="A7" s="397" t="s">
        <v>439</v>
      </c>
      <c r="B7" s="1278" t="s">
        <v>458</v>
      </c>
      <c r="C7" s="1291">
        <v>5</v>
      </c>
      <c r="D7" s="1291" t="s">
        <v>997</v>
      </c>
      <c r="E7" s="834"/>
      <c r="F7" s="375" t="s">
        <v>458</v>
      </c>
      <c r="G7" s="375"/>
      <c r="H7" s="374"/>
      <c r="I7" s="376"/>
    </row>
    <row r="8" spans="1:9" ht="15.75" thickBot="1" x14ac:dyDescent="0.3">
      <c r="A8" s="397" t="s">
        <v>440</v>
      </c>
      <c r="B8" s="1278" t="s">
        <v>458</v>
      </c>
      <c r="C8" s="1303">
        <v>2</v>
      </c>
      <c r="D8" s="1303" t="s">
        <v>1046</v>
      </c>
      <c r="E8" s="834"/>
      <c r="F8" s="375" t="s">
        <v>458</v>
      </c>
      <c r="G8" s="375"/>
      <c r="H8" s="374"/>
      <c r="I8" s="376"/>
    </row>
    <row r="9" spans="1:9" hidden="1" outlineLevel="1" x14ac:dyDescent="0.25">
      <c r="A9" s="397" t="s">
        <v>441</v>
      </c>
      <c r="B9" s="1278"/>
      <c r="C9" s="834"/>
      <c r="D9" s="834"/>
      <c r="E9" s="834"/>
      <c r="F9" s="375"/>
      <c r="G9" s="375"/>
      <c r="H9" s="374"/>
      <c r="I9" s="376"/>
    </row>
    <row r="10" spans="1:9" hidden="1" outlineLevel="1" x14ac:dyDescent="0.25">
      <c r="A10" s="397" t="s">
        <v>442</v>
      </c>
      <c r="B10" s="1278"/>
      <c r="C10" s="834"/>
      <c r="D10" s="834"/>
      <c r="E10" s="834"/>
      <c r="F10" s="375"/>
      <c r="G10" s="375"/>
      <c r="H10" s="374"/>
      <c r="I10" s="376"/>
    </row>
    <row r="11" spans="1:9" hidden="1" outlineLevel="1" x14ac:dyDescent="0.25">
      <c r="A11" s="397" t="s">
        <v>443</v>
      </c>
      <c r="B11" s="1278"/>
      <c r="C11" s="834"/>
      <c r="D11" s="834"/>
      <c r="E11" s="834"/>
      <c r="F11" s="375"/>
      <c r="G11" s="375"/>
      <c r="H11" s="374"/>
      <c r="I11" s="376"/>
    </row>
    <row r="12" spans="1:9" hidden="1" outlineLevel="1" x14ac:dyDescent="0.25">
      <c r="A12" s="397" t="s">
        <v>444</v>
      </c>
      <c r="B12" s="1278"/>
      <c r="C12" s="834"/>
      <c r="D12" s="834"/>
      <c r="E12" s="834"/>
      <c r="F12" s="375"/>
      <c r="G12" s="375"/>
      <c r="H12" s="374"/>
      <c r="I12" s="376"/>
    </row>
    <row r="13" spans="1:9" hidden="1" outlineLevel="1" x14ac:dyDescent="0.25">
      <c r="A13" s="397" t="s">
        <v>445</v>
      </c>
      <c r="B13" s="1278"/>
      <c r="C13" s="834"/>
      <c r="D13" s="834"/>
      <c r="E13" s="834"/>
      <c r="F13" s="375"/>
      <c r="G13" s="375"/>
      <c r="H13" s="374"/>
      <c r="I13" s="376"/>
    </row>
    <row r="14" spans="1:9" hidden="1" outlineLevel="1" x14ac:dyDescent="0.25">
      <c r="A14" s="397" t="s">
        <v>446</v>
      </c>
      <c r="B14" s="1278"/>
      <c r="C14" s="834"/>
      <c r="D14" s="834"/>
      <c r="E14" s="834"/>
      <c r="F14" s="375"/>
      <c r="G14" s="375"/>
      <c r="H14" s="374"/>
      <c r="I14" s="376"/>
    </row>
    <row r="15" spans="1:9" s="460" customFormat="1" ht="15.75" hidden="1" outlineLevel="1" thickBot="1" x14ac:dyDescent="0.3">
      <c r="A15" s="404" t="s">
        <v>564</v>
      </c>
      <c r="B15" s="1285"/>
      <c r="C15" s="835"/>
      <c r="D15" s="835"/>
      <c r="E15" s="835"/>
      <c r="F15" s="379"/>
      <c r="G15" s="379"/>
      <c r="H15" s="378"/>
      <c r="I15" s="380"/>
    </row>
    <row r="16" spans="1:9" s="460" customFormat="1" collapsed="1" x14ac:dyDescent="0.25">
      <c r="A16" s="403" t="s">
        <v>982</v>
      </c>
      <c r="B16" s="1277">
        <v>5</v>
      </c>
      <c r="C16" s="1286" t="s">
        <v>985</v>
      </c>
      <c r="D16" s="833">
        <v>5</v>
      </c>
      <c r="E16" s="833"/>
      <c r="F16" s="357">
        <v>5</v>
      </c>
      <c r="G16" s="357"/>
      <c r="H16" s="371"/>
      <c r="I16" s="372"/>
    </row>
    <row r="17" spans="1:9" x14ac:dyDescent="0.25">
      <c r="A17" s="397" t="s">
        <v>447</v>
      </c>
      <c r="B17" s="1288">
        <v>3</v>
      </c>
      <c r="C17" s="834" t="s">
        <v>463</v>
      </c>
      <c r="D17" s="834">
        <v>3</v>
      </c>
      <c r="E17" s="834"/>
      <c r="F17" s="1290">
        <v>3</v>
      </c>
      <c r="G17" s="375"/>
      <c r="H17" s="374"/>
      <c r="I17" s="376"/>
    </row>
    <row r="18" spans="1:9" x14ac:dyDescent="0.25">
      <c r="A18" s="397" t="s">
        <v>448</v>
      </c>
      <c r="B18" s="1289">
        <v>3</v>
      </c>
      <c r="C18" s="834" t="s">
        <v>463</v>
      </c>
      <c r="D18" s="834">
        <v>3</v>
      </c>
      <c r="E18" s="834"/>
      <c r="F18" s="1291">
        <v>3</v>
      </c>
      <c r="G18" s="375"/>
      <c r="H18" s="374"/>
      <c r="I18" s="376"/>
    </row>
    <row r="19" spans="1:9" ht="15.75" thickBot="1" x14ac:dyDescent="0.3">
      <c r="A19" s="397" t="s">
        <v>449</v>
      </c>
      <c r="B19" s="1302">
        <v>2</v>
      </c>
      <c r="C19" s="1287" t="s">
        <v>984</v>
      </c>
      <c r="D19" s="834">
        <v>2</v>
      </c>
      <c r="E19" s="834"/>
      <c r="F19" s="1304" t="str">
        <f>CONCATENATE("2+",1+Stats!F$16)</f>
        <v>2+4</v>
      </c>
      <c r="G19" s="375"/>
      <c r="H19" s="374"/>
      <c r="I19" s="376"/>
    </row>
    <row r="20" spans="1:9" hidden="1" outlineLevel="1" x14ac:dyDescent="0.25">
      <c r="A20" s="397" t="s">
        <v>450</v>
      </c>
      <c r="B20" s="1278"/>
      <c r="C20" s="834"/>
      <c r="D20" s="834"/>
      <c r="E20" s="834"/>
      <c r="F20" s="375"/>
      <c r="G20" s="375"/>
      <c r="H20" s="374"/>
      <c r="I20" s="376"/>
    </row>
    <row r="21" spans="1:9" hidden="1" outlineLevel="1" x14ac:dyDescent="0.25">
      <c r="A21" s="397" t="s">
        <v>451</v>
      </c>
      <c r="B21" s="1278"/>
      <c r="C21" s="834"/>
      <c r="D21" s="834"/>
      <c r="E21" s="834"/>
      <c r="F21" s="375"/>
      <c r="G21" s="375"/>
      <c r="H21" s="374"/>
      <c r="I21" s="376"/>
    </row>
    <row r="22" spans="1:9" hidden="1" outlineLevel="1" x14ac:dyDescent="0.25">
      <c r="A22" s="397" t="s">
        <v>452</v>
      </c>
      <c r="B22" s="373"/>
      <c r="C22" s="374"/>
      <c r="D22" s="374"/>
      <c r="E22" s="834"/>
      <c r="F22" s="375"/>
      <c r="G22" s="375"/>
      <c r="H22" s="374"/>
      <c r="I22" s="376"/>
    </row>
    <row r="23" spans="1:9" hidden="1" outlineLevel="1" x14ac:dyDescent="0.25">
      <c r="A23" s="397" t="s">
        <v>453</v>
      </c>
      <c r="B23" s="373"/>
      <c r="C23" s="374"/>
      <c r="D23" s="374"/>
      <c r="E23" s="834"/>
      <c r="F23" s="375"/>
      <c r="G23" s="375"/>
      <c r="H23" s="374"/>
      <c r="I23" s="376"/>
    </row>
    <row r="24" spans="1:9" hidden="1" outlineLevel="1" x14ac:dyDescent="0.25">
      <c r="A24" s="397" t="s">
        <v>454</v>
      </c>
      <c r="B24" s="373"/>
      <c r="C24" s="374"/>
      <c r="D24" s="374"/>
      <c r="E24" s="834"/>
      <c r="F24" s="375"/>
      <c r="G24" s="375"/>
      <c r="H24" s="374"/>
      <c r="I24" s="376"/>
    </row>
    <row r="25" spans="1:9" hidden="1" outlineLevel="1" x14ac:dyDescent="0.25">
      <c r="A25" s="397" t="s">
        <v>455</v>
      </c>
      <c r="B25" s="373"/>
      <c r="C25" s="374"/>
      <c r="D25" s="374"/>
      <c r="E25" s="834"/>
      <c r="F25" s="375"/>
      <c r="G25" s="375"/>
      <c r="H25" s="374"/>
      <c r="I25" s="376"/>
    </row>
    <row r="26" spans="1:9" s="460" customFormat="1" ht="15.75" hidden="1" outlineLevel="1" thickBot="1" x14ac:dyDescent="0.3">
      <c r="A26" s="404" t="s">
        <v>563</v>
      </c>
      <c r="B26" s="377"/>
      <c r="C26" s="378"/>
      <c r="D26" s="378"/>
      <c r="E26" s="835"/>
      <c r="F26" s="379"/>
      <c r="G26" s="379"/>
      <c r="H26" s="378"/>
      <c r="I26" s="380"/>
    </row>
    <row r="27" spans="1:9" s="460" customFormat="1" collapsed="1" x14ac:dyDescent="0.25">
      <c r="A27" s="403" t="s">
        <v>937</v>
      </c>
      <c r="B27" s="1279">
        <v>3</v>
      </c>
      <c r="C27" s="1348" t="s">
        <v>463</v>
      </c>
      <c r="D27" s="1280">
        <v>3</v>
      </c>
      <c r="E27" s="1280"/>
      <c r="F27" s="1281">
        <v>3</v>
      </c>
      <c r="G27" s="1228"/>
      <c r="H27" s="1227"/>
      <c r="I27" s="1229"/>
    </row>
    <row r="28" spans="1:9" s="460" customFormat="1" x14ac:dyDescent="0.25">
      <c r="A28" s="397" t="s">
        <v>938</v>
      </c>
      <c r="B28" s="1282">
        <v>3</v>
      </c>
      <c r="C28" s="1349" t="s">
        <v>463</v>
      </c>
      <c r="D28" s="1283">
        <v>3</v>
      </c>
      <c r="E28" s="1283"/>
      <c r="F28" s="1284">
        <v>3</v>
      </c>
      <c r="G28" s="1231"/>
      <c r="H28" s="1230"/>
      <c r="I28" s="1232"/>
    </row>
    <row r="29" spans="1:9" s="460" customFormat="1" x14ac:dyDescent="0.25">
      <c r="A29" s="397" t="s">
        <v>939</v>
      </c>
      <c r="B29" s="1282">
        <v>2</v>
      </c>
      <c r="C29" s="1349" t="s">
        <v>984</v>
      </c>
      <c r="D29" s="1283">
        <v>2</v>
      </c>
      <c r="E29" s="1283"/>
      <c r="F29" s="1284" t="s">
        <v>1074</v>
      </c>
      <c r="G29" s="375"/>
      <c r="H29" s="374"/>
      <c r="I29" s="376"/>
    </row>
    <row r="30" spans="1:9" s="460" customFormat="1" hidden="1" outlineLevel="1" x14ac:dyDescent="0.25">
      <c r="A30" s="397" t="s">
        <v>940</v>
      </c>
      <c r="B30" s="373"/>
      <c r="C30" s="374"/>
      <c r="D30" s="374"/>
      <c r="E30" s="834"/>
      <c r="F30" s="375"/>
      <c r="G30" s="375"/>
      <c r="H30" s="374"/>
      <c r="I30" s="376"/>
    </row>
    <row r="31" spans="1:9" s="460" customFormat="1" hidden="1" outlineLevel="1" x14ac:dyDescent="0.25">
      <c r="A31" s="397" t="s">
        <v>941</v>
      </c>
      <c r="B31" s="373"/>
      <c r="C31" s="374"/>
      <c r="D31" s="374"/>
      <c r="E31" s="834"/>
      <c r="F31" s="375"/>
      <c r="G31" s="375"/>
      <c r="H31" s="374"/>
      <c r="I31" s="376"/>
    </row>
    <row r="32" spans="1:9" s="460" customFormat="1" hidden="1" outlineLevel="1" x14ac:dyDescent="0.25">
      <c r="A32" s="397" t="s">
        <v>942</v>
      </c>
      <c r="B32" s="373"/>
      <c r="C32" s="374"/>
      <c r="D32" s="374"/>
      <c r="E32" s="834"/>
      <c r="F32" s="375"/>
      <c r="G32" s="375"/>
      <c r="H32" s="374"/>
      <c r="I32" s="376"/>
    </row>
    <row r="33" spans="1:9" s="460" customFormat="1" hidden="1" outlineLevel="1" x14ac:dyDescent="0.25">
      <c r="A33" s="397" t="s">
        <v>943</v>
      </c>
      <c r="B33" s="373"/>
      <c r="C33" s="374"/>
      <c r="D33" s="374"/>
      <c r="E33" s="834"/>
      <c r="F33" s="375"/>
      <c r="G33" s="375"/>
      <c r="H33" s="374"/>
      <c r="I33" s="376"/>
    </row>
    <row r="34" spans="1:9" s="460" customFormat="1" hidden="1" outlineLevel="1" x14ac:dyDescent="0.25">
      <c r="A34" s="397" t="s">
        <v>944</v>
      </c>
      <c r="B34" s="373"/>
      <c r="C34" s="374"/>
      <c r="D34" s="374"/>
      <c r="E34" s="834"/>
      <c r="F34" s="375"/>
      <c r="G34" s="375"/>
      <c r="H34" s="374"/>
      <c r="I34" s="376"/>
    </row>
    <row r="35" spans="1:9" s="460" customFormat="1" hidden="1" outlineLevel="1" x14ac:dyDescent="0.25">
      <c r="A35" s="397" t="s">
        <v>945</v>
      </c>
      <c r="B35" s="373"/>
      <c r="C35" s="374"/>
      <c r="D35" s="374"/>
      <c r="E35" s="834"/>
      <c r="F35" s="375"/>
      <c r="G35" s="375"/>
      <c r="H35" s="374"/>
      <c r="I35" s="376"/>
    </row>
    <row r="36" spans="1:9" s="460" customFormat="1" ht="15.75" hidden="1" outlineLevel="1" thickBot="1" x14ac:dyDescent="0.3">
      <c r="A36" s="404" t="s">
        <v>946</v>
      </c>
      <c r="B36" s="377"/>
      <c r="C36" s="378"/>
      <c r="D36" s="378"/>
      <c r="E36" s="835"/>
      <c r="F36" s="379"/>
      <c r="G36" s="379"/>
      <c r="H36" s="378"/>
      <c r="I36" s="380"/>
    </row>
    <row r="37" spans="1:9" s="460" customFormat="1" hidden="1" outlineLevel="1" x14ac:dyDescent="0.25">
      <c r="A37" s="300"/>
      <c r="B37" s="373"/>
      <c r="C37" s="374"/>
      <c r="D37" s="374"/>
      <c r="E37" s="834"/>
      <c r="F37" s="375"/>
      <c r="G37" s="371" t="s">
        <v>476</v>
      </c>
      <c r="H37" s="374"/>
      <c r="I37" s="376"/>
    </row>
    <row r="38" spans="1:9" s="460" customFormat="1" ht="15.75" collapsed="1" thickBot="1" x14ac:dyDescent="0.3">
      <c r="A38" s="299" t="s">
        <v>558</v>
      </c>
      <c r="B38" s="373"/>
      <c r="C38" s="374"/>
      <c r="D38" s="374"/>
      <c r="E38" s="834"/>
      <c r="F38" s="375"/>
      <c r="G38" s="503" t="s">
        <v>405</v>
      </c>
      <c r="H38" s="374"/>
      <c r="I38" s="376"/>
    </row>
    <row r="39" spans="1:9" s="460" customFormat="1" hidden="1" outlineLevel="1" x14ac:dyDescent="0.25">
      <c r="A39" s="299"/>
      <c r="B39" s="373"/>
      <c r="C39" s="374"/>
      <c r="D39" s="374"/>
      <c r="E39" s="834"/>
      <c r="F39" s="894"/>
      <c r="G39" s="506" t="str">
        <f>CONCATENATE("1 creat, 120', spell att, ",G$4,"d4+",G$2," cold")</f>
        <v>1 creat, 120', spell att, 3d4+4 cold</v>
      </c>
      <c r="H39" s="374"/>
      <c r="I39" s="376"/>
    </row>
    <row r="40" spans="1:9" s="460" customFormat="1" hidden="1" outlineLevel="1" x14ac:dyDescent="0.25">
      <c r="A40" s="299"/>
      <c r="B40" s="890"/>
      <c r="C40" s="891"/>
      <c r="D40" s="891"/>
      <c r="E40" s="892"/>
      <c r="F40" s="895"/>
      <c r="G40" s="882" t="s">
        <v>779</v>
      </c>
      <c r="H40" s="891"/>
      <c r="I40" s="893"/>
    </row>
    <row r="41" spans="1:9" s="460" customFormat="1" hidden="1" outlineLevel="1" x14ac:dyDescent="0.25">
      <c r="A41" s="299"/>
      <c r="B41" s="373"/>
      <c r="C41" s="374"/>
      <c r="D41" s="374"/>
      <c r="E41" s="834"/>
      <c r="F41" s="375"/>
      <c r="G41" s="375"/>
      <c r="H41" s="374"/>
      <c r="I41" s="376"/>
    </row>
    <row r="42" spans="1:9" s="460" customFormat="1" hidden="1" outlineLevel="1" x14ac:dyDescent="0.25">
      <c r="A42" s="299"/>
      <c r="B42" s="373"/>
      <c r="C42" s="374"/>
      <c r="D42" s="374"/>
      <c r="E42" s="834"/>
      <c r="F42" s="375"/>
      <c r="G42" s="375"/>
      <c r="H42" s="374"/>
      <c r="I42" s="376"/>
    </row>
    <row r="43" spans="1:9" s="460" customFormat="1" hidden="1" outlineLevel="1" x14ac:dyDescent="0.25">
      <c r="A43" s="299"/>
      <c r="B43" s="373"/>
      <c r="C43" s="374"/>
      <c r="D43" s="374"/>
      <c r="E43" s="834"/>
      <c r="F43" s="375"/>
      <c r="G43" s="375"/>
      <c r="H43" s="374"/>
      <c r="I43" s="376"/>
    </row>
    <row r="44" spans="1:9" s="460" customFormat="1" ht="15.75" hidden="1" outlineLevel="1" thickBot="1" x14ac:dyDescent="0.3">
      <c r="A44" s="499"/>
      <c r="B44" s="373"/>
      <c r="C44" s="374"/>
      <c r="D44" s="374"/>
      <c r="E44" s="834"/>
      <c r="F44" s="375"/>
      <c r="G44" s="375"/>
      <c r="H44" s="374"/>
      <c r="I44" s="376"/>
    </row>
    <row r="45" spans="1:9" collapsed="1" x14ac:dyDescent="0.25">
      <c r="A45" s="300" t="s">
        <v>457</v>
      </c>
      <c r="B45" s="365">
        <v>1</v>
      </c>
      <c r="C45" s="371">
        <v>1</v>
      </c>
      <c r="D45" s="371">
        <v>2</v>
      </c>
      <c r="E45" s="836"/>
      <c r="F45" s="357">
        <v>1</v>
      </c>
      <c r="G45" s="405"/>
      <c r="H45" s="1056"/>
      <c r="I45" s="406"/>
    </row>
    <row r="46" spans="1:9" s="460" customFormat="1" hidden="1" outlineLevel="1" x14ac:dyDescent="0.25">
      <c r="A46" s="300"/>
      <c r="B46" s="885" t="s">
        <v>778</v>
      </c>
      <c r="C46" s="371" t="s">
        <v>778</v>
      </c>
      <c r="D46" s="371" t="s">
        <v>778</v>
      </c>
      <c r="E46" s="833"/>
      <c r="F46" s="371" t="s">
        <v>778</v>
      </c>
      <c r="G46" s="357"/>
      <c r="H46" s="1056"/>
      <c r="I46" s="406"/>
    </row>
    <row r="47" spans="1:9" collapsed="1" x14ac:dyDescent="0.25">
      <c r="A47" s="299" t="s">
        <v>559</v>
      </c>
      <c r="B47" s="886" t="s">
        <v>176</v>
      </c>
      <c r="C47" s="874" t="s">
        <v>184</v>
      </c>
      <c r="D47" s="500" t="s">
        <v>666</v>
      </c>
      <c r="E47" s="502"/>
      <c r="F47" s="361" t="s">
        <v>259</v>
      </c>
      <c r="G47" s="875"/>
      <c r="H47" s="1057"/>
      <c r="I47" s="504"/>
    </row>
    <row r="48" spans="1:9" s="460" customFormat="1" hidden="1" outlineLevel="1" x14ac:dyDescent="0.25">
      <c r="A48" s="299"/>
      <c r="B48" s="887" t="str">
        <f>CONCATENATE("1 living animal, Touch ",B$4,"d8 / 30' ",B$4,"d8+",8*B$4)</f>
        <v>1 living animal, Touch 3d8 / 30' 3d8+24</v>
      </c>
      <c r="C48" s="506" t="s">
        <v>567</v>
      </c>
      <c r="D48" s="506" t="s">
        <v>668</v>
      </c>
      <c r="E48" s="512"/>
      <c r="F48" s="506" t="str">
        <f>CONCATENATE("1 creat, 30', 1 min, +",2*F$4,"HP when healed")</f>
        <v>1 creat, 30', 1 min, +6HP when healed</v>
      </c>
      <c r="G48" s="508"/>
      <c r="H48" s="1057"/>
      <c r="I48" s="504"/>
    </row>
    <row r="49" spans="1:9" s="460" customFormat="1" hidden="1" outlineLevel="1" x14ac:dyDescent="0.25">
      <c r="A49" s="299"/>
      <c r="B49" s="887" t="s">
        <v>565</v>
      </c>
      <c r="C49" s="506" t="s">
        <v>566</v>
      </c>
      <c r="D49" s="506" t="s">
        <v>667</v>
      </c>
      <c r="E49" s="512"/>
      <c r="F49" s="507" t="s">
        <v>568</v>
      </c>
      <c r="G49" s="508"/>
      <c r="H49" s="1058"/>
      <c r="I49" s="883"/>
    </row>
    <row r="50" spans="1:9" s="460" customFormat="1" hidden="1" outlineLevel="1" x14ac:dyDescent="0.25">
      <c r="A50" s="299"/>
      <c r="B50" s="888"/>
      <c r="C50" s="876"/>
      <c r="D50" s="877" t="s">
        <v>778</v>
      </c>
      <c r="E50" s="878"/>
      <c r="F50" s="879"/>
      <c r="G50" s="880"/>
      <c r="H50" s="622"/>
      <c r="I50" s="884"/>
    </row>
    <row r="51" spans="1:9" s="460" customFormat="1" collapsed="1" x14ac:dyDescent="0.25">
      <c r="A51" s="299"/>
      <c r="B51" s="887"/>
      <c r="C51" s="506"/>
      <c r="D51" s="500" t="s">
        <v>690</v>
      </c>
      <c r="E51" s="512"/>
      <c r="F51" s="507"/>
      <c r="G51" s="508"/>
      <c r="H51" s="1057"/>
      <c r="I51" s="504"/>
    </row>
    <row r="52" spans="1:9" s="460" customFormat="1" hidden="1" outlineLevel="1" x14ac:dyDescent="0.25">
      <c r="A52" s="299"/>
      <c r="B52" s="887"/>
      <c r="C52" s="506"/>
      <c r="D52" s="506" t="s">
        <v>692</v>
      </c>
      <c r="E52" s="512"/>
      <c r="F52" s="507"/>
      <c r="G52" s="508"/>
      <c r="H52" s="1057"/>
      <c r="I52" s="504"/>
    </row>
    <row r="53" spans="1:9" s="460" customFormat="1" ht="15.75" hidden="1" outlineLevel="1" thickBot="1" x14ac:dyDescent="0.3">
      <c r="A53" s="499"/>
      <c r="B53" s="889"/>
      <c r="C53" s="509"/>
      <c r="D53" s="509" t="s">
        <v>691</v>
      </c>
      <c r="E53" s="513"/>
      <c r="F53" s="510"/>
      <c r="G53" s="511"/>
      <c r="H53" s="1059"/>
      <c r="I53" s="505"/>
    </row>
    <row r="54" spans="1:9" s="460" customFormat="1" hidden="1" outlineLevel="1" x14ac:dyDescent="0.25">
      <c r="A54" s="300"/>
      <c r="B54" s="1274" t="s">
        <v>777</v>
      </c>
      <c r="C54" s="833" t="s">
        <v>1014</v>
      </c>
      <c r="D54" s="833" t="s">
        <v>777</v>
      </c>
      <c r="E54" s="833"/>
      <c r="F54" s="833" t="s">
        <v>777</v>
      </c>
      <c r="G54" s="371"/>
      <c r="H54" s="1060"/>
      <c r="I54" s="868"/>
    </row>
    <row r="55" spans="1:9" collapsed="1" x14ac:dyDescent="0.25">
      <c r="A55" s="299" t="s">
        <v>165</v>
      </c>
      <c r="B55" s="1272" t="s">
        <v>295</v>
      </c>
      <c r="C55" s="1297" t="s">
        <v>410</v>
      </c>
      <c r="D55" s="361" t="s">
        <v>410</v>
      </c>
      <c r="E55" s="502"/>
      <c r="F55" s="361" t="s">
        <v>410</v>
      </c>
      <c r="G55" s="873"/>
      <c r="H55" s="873"/>
      <c r="I55" s="362"/>
    </row>
    <row r="56" spans="1:9" s="31" customFormat="1" hidden="1" outlineLevel="1" x14ac:dyDescent="0.25">
      <c r="A56" s="1269"/>
      <c r="B56" s="900" t="s">
        <v>578</v>
      </c>
      <c r="C56" s="507" t="str">
        <f>CONCATENATE("1 creat, 60', 1 rd, ",IF(C$4&gt;2,CONCATENATE(INT((C$4-1)/2),"d6+"),""),C$2," mental and WIL or stunned 1")</f>
        <v>1 creat, 60', 1 rd, 1d6+4 mental and WIL or stunned 1</v>
      </c>
      <c r="D56" s="507" t="str">
        <f>CONCATENATE("1 creat, 60', 1 rd, ",IF(D$4&gt;2,CONCATENATE(INT((D$4-1)/2),"d6+"),""),D$2," mental and WIL or stunned 1")</f>
        <v>1 creat, 60', 1 rd, 1d6+4 mental and WIL or stunned 1</v>
      </c>
      <c r="E56" s="512"/>
      <c r="F56" s="507" t="str">
        <f>CONCATENATE("1 creat, 60', 1 rd, ",IF(F$4&gt;2,CONCATENATE(INT((F$4-1)/2),"d6+"),""),F$2," mental and WIL or stunned 1")</f>
        <v>1 creat, 60', 1 rd, 1d6+4 mental and WIL or stunned 1</v>
      </c>
      <c r="G56" s="512"/>
      <c r="H56" s="502"/>
      <c r="I56" s="1270"/>
    </row>
    <row r="57" spans="1:9" s="31" customFormat="1" hidden="1" outlineLevel="1" x14ac:dyDescent="0.25">
      <c r="A57" s="1269"/>
      <c r="B57" s="901" t="s">
        <v>569</v>
      </c>
      <c r="C57" s="896" t="s">
        <v>569</v>
      </c>
      <c r="D57" s="896" t="s">
        <v>569</v>
      </c>
      <c r="E57" s="881"/>
      <c r="F57" s="864" t="s">
        <v>569</v>
      </c>
      <c r="G57" s="881"/>
      <c r="H57" s="881"/>
      <c r="I57" s="1271"/>
    </row>
    <row r="58" spans="1:9" s="460" customFormat="1" hidden="1" outlineLevel="1" x14ac:dyDescent="0.25">
      <c r="A58" s="299"/>
      <c r="B58" s="1275" t="s">
        <v>777</v>
      </c>
      <c r="C58" s="899" t="s">
        <v>777</v>
      </c>
      <c r="D58" s="899" t="s">
        <v>777</v>
      </c>
      <c r="E58" s="899"/>
      <c r="F58" s="899" t="s">
        <v>777</v>
      </c>
      <c r="G58" s="877"/>
      <c r="H58" s="622"/>
      <c r="I58" s="884"/>
    </row>
    <row r="59" spans="1:9" s="31" customFormat="1" collapsed="1" x14ac:dyDescent="0.25">
      <c r="A59" s="1269"/>
      <c r="B59" s="1272" t="s">
        <v>402</v>
      </c>
      <c r="C59" s="361" t="s">
        <v>398</v>
      </c>
      <c r="D59" s="361" t="s">
        <v>400</v>
      </c>
      <c r="E59" s="502"/>
      <c r="F59" s="862" t="s">
        <v>295</v>
      </c>
      <c r="G59" s="502"/>
      <c r="H59" s="502"/>
      <c r="I59" s="1270"/>
    </row>
    <row r="60" spans="1:9" s="31" customFormat="1" hidden="1" outlineLevel="1" x14ac:dyDescent="0.25">
      <c r="A60" s="1269"/>
      <c r="B60" s="900" t="s">
        <v>577</v>
      </c>
      <c r="C60" s="507" t="str">
        <f>CONCATENATE("1 creat, 30', att roll, ",MAX(1,INT((C$4-1)/2)),"d6",IF(C$4&gt;2,CONCATENATE("+",C$2),""),", ",IF(C$4&gt;4,INT((C$4-1)/2),INT((C$4+1)/2))," acid spash, crit +",INT((C$4+1)/2)," persist")</f>
        <v>1 creat, 30', att roll, 1d6+4, 2 acid spash, crit +2 persist</v>
      </c>
      <c r="D60" s="507" t="s">
        <v>928</v>
      </c>
      <c r="E60" s="512"/>
      <c r="F60" s="864" t="s">
        <v>578</v>
      </c>
      <c r="G60" s="512"/>
      <c r="H60" s="512"/>
      <c r="I60" s="1273"/>
    </row>
    <row r="61" spans="1:9" s="31" customFormat="1" hidden="1" outlineLevel="1" x14ac:dyDescent="0.25">
      <c r="A61" s="1269"/>
      <c r="B61" s="901" t="s">
        <v>569</v>
      </c>
      <c r="C61" s="896" t="s">
        <v>569</v>
      </c>
      <c r="D61" s="882" t="s">
        <v>568</v>
      </c>
      <c r="E61" s="881"/>
      <c r="F61" s="896" t="s">
        <v>569</v>
      </c>
      <c r="G61" s="881"/>
      <c r="H61" s="881"/>
      <c r="I61" s="1271"/>
    </row>
    <row r="62" spans="1:9" s="460" customFormat="1" hidden="1" outlineLevel="1" x14ac:dyDescent="0.25">
      <c r="A62" s="299"/>
      <c r="B62" s="1275" t="s">
        <v>777</v>
      </c>
      <c r="C62" s="899" t="s">
        <v>777</v>
      </c>
      <c r="D62" s="899" t="s">
        <v>925</v>
      </c>
      <c r="E62" s="899"/>
      <c r="F62" s="899" t="s">
        <v>777</v>
      </c>
      <c r="G62" s="877"/>
      <c r="H62" s="622"/>
      <c r="I62" s="884"/>
    </row>
    <row r="63" spans="1:9" s="31" customFormat="1" collapsed="1" x14ac:dyDescent="0.25">
      <c r="A63" s="1269"/>
      <c r="B63" s="1272" t="s">
        <v>403</v>
      </c>
      <c r="C63" s="361" t="s">
        <v>399</v>
      </c>
      <c r="D63" s="361" t="s">
        <v>926</v>
      </c>
      <c r="E63" s="502"/>
      <c r="F63" s="361" t="s">
        <v>296</v>
      </c>
      <c r="G63" s="502"/>
      <c r="H63" s="502"/>
      <c r="I63" s="1270"/>
    </row>
    <row r="64" spans="1:9" s="31" customFormat="1" hidden="1" outlineLevel="1" x14ac:dyDescent="0.25">
      <c r="A64" s="1269"/>
      <c r="B64" s="900" t="str">
        <f>CONCATENATE("1 creat, 30', spell att, ",B$4,"d4+",B$2+INT(B$4/2)," fire, crit ",2*B$4,"d4+",2*(B$2+INT(B$4/2))," &amp; ",B$4,"d4+1 persit")</f>
        <v>1 creat, 30', spell att, 3d4+5 fire, crit 6d4+10 &amp; 3d4+1 persit</v>
      </c>
      <c r="C64" s="507" t="str">
        <f>CONCATENATE("1 or 2 creat, 30', BREF, ",C$4,"d4+",C$2)</f>
        <v>1 or 2 creat, 30', BREF, 3d4+4</v>
      </c>
      <c r="D64" s="507" t="s">
        <v>927</v>
      </c>
      <c r="E64" s="512"/>
      <c r="F64" s="507" t="str">
        <f>CONCATENATE("1 undead, 30', FOR, ",F$4,"d6+",F$2,", crit enfeebled 1 for 1 rd")</f>
        <v>1 undead, 30', FOR, 3d6+4, crit enfeebled 1 for 1 rd</v>
      </c>
      <c r="G64" s="512"/>
      <c r="H64" s="512"/>
      <c r="I64" s="1273"/>
    </row>
    <row r="65" spans="1:9" s="31" customFormat="1" hidden="1" outlineLevel="1" x14ac:dyDescent="0.25">
      <c r="A65" s="1269"/>
      <c r="B65" s="898" t="s">
        <v>569</v>
      </c>
      <c r="C65" s="864" t="s">
        <v>569</v>
      </c>
      <c r="D65" s="864" t="s">
        <v>568</v>
      </c>
      <c r="E65" s="512"/>
      <c r="F65" s="896" t="s">
        <v>569</v>
      </c>
      <c r="G65" s="512"/>
      <c r="H65" s="512"/>
      <c r="I65" s="1273"/>
    </row>
    <row r="66" spans="1:9" s="460" customFormat="1" hidden="1" outlineLevel="1" x14ac:dyDescent="0.25">
      <c r="A66" s="299"/>
      <c r="B66" s="1275" t="s">
        <v>777</v>
      </c>
      <c r="C66" s="899" t="s">
        <v>777</v>
      </c>
      <c r="D66" s="899" t="s">
        <v>777</v>
      </c>
      <c r="E66" s="899"/>
      <c r="F66" s="899" t="s">
        <v>777</v>
      </c>
      <c r="G66" s="877"/>
      <c r="H66" s="622"/>
      <c r="I66" s="884"/>
    </row>
    <row r="67" spans="1:9" s="31" customFormat="1" collapsed="1" x14ac:dyDescent="0.25">
      <c r="A67" s="1269"/>
      <c r="B67" s="1272" t="s">
        <v>404</v>
      </c>
      <c r="C67" s="361" t="s">
        <v>403</v>
      </c>
      <c r="D67" s="361" t="s">
        <v>406</v>
      </c>
      <c r="E67" s="502"/>
      <c r="F67" s="1297" t="s">
        <v>294</v>
      </c>
      <c r="G67" s="502"/>
      <c r="H67" s="502"/>
      <c r="I67" s="1270"/>
    </row>
    <row r="68" spans="1:9" s="31" customFormat="1" hidden="1" outlineLevel="1" x14ac:dyDescent="0.25">
      <c r="A68" s="1269"/>
      <c r="B68" s="900" t="str">
        <f>CONCATENATE("1 minion, 30', until next turn, reaction, ",-10*INT((B$4+1)/2),"HP/",-5*INT((B$4+1)/2),"HP")</f>
        <v>1 minion, 30', until next turn, reaction, -20HP/-10HP</v>
      </c>
      <c r="C68" s="507" t="str">
        <f>CONCATENATE("1 creat, 30', att roll, ",C$4,"d4+",C$2," fire, crit ",C$4+1,"d4+",C$2," &amp; ",C$4,"d4 persit")</f>
        <v>1 creat, 30', att roll, 3d4+4 fire, crit 4d4+4 &amp; 3d4 persit</v>
      </c>
      <c r="D68" s="507" t="s">
        <v>697</v>
      </c>
      <c r="E68" s="512"/>
      <c r="F68" s="507" t="str">
        <f>CONCATENATE("1 creat, 30', spell att, ",F$4,"d4+",F$2," align, crit ",F$4+1,"d4+",F$2)</f>
        <v>1 creat, 30', spell att, 3d4+4 align, crit 4d4+4</v>
      </c>
      <c r="G68" s="512"/>
      <c r="H68" s="512"/>
      <c r="I68" s="1273"/>
    </row>
    <row r="69" spans="1:9" s="31" customFormat="1" hidden="1" outlineLevel="1" x14ac:dyDescent="0.25">
      <c r="A69" s="1269"/>
      <c r="B69" s="900" t="s">
        <v>568</v>
      </c>
      <c r="C69" s="864" t="s">
        <v>569</v>
      </c>
      <c r="D69" s="864" t="s">
        <v>696</v>
      </c>
      <c r="E69" s="512"/>
      <c r="F69" s="864" t="s">
        <v>569</v>
      </c>
      <c r="G69" s="512"/>
      <c r="H69" s="512"/>
      <c r="I69" s="1273"/>
    </row>
    <row r="70" spans="1:9" s="460" customFormat="1" hidden="1" outlineLevel="1" x14ac:dyDescent="0.25">
      <c r="A70" s="299"/>
      <c r="B70" s="1275" t="s">
        <v>777</v>
      </c>
      <c r="C70" s="899" t="s">
        <v>777</v>
      </c>
      <c r="D70" s="899" t="s">
        <v>777</v>
      </c>
      <c r="E70" s="899"/>
      <c r="F70" s="899" t="s">
        <v>777</v>
      </c>
      <c r="G70" s="877"/>
      <c r="H70" s="622"/>
      <c r="I70" s="884"/>
    </row>
    <row r="71" spans="1:9" s="31" customFormat="1" collapsed="1" x14ac:dyDescent="0.25">
      <c r="A71" s="1269"/>
      <c r="B71" s="1272" t="s">
        <v>407</v>
      </c>
      <c r="C71" s="361" t="s">
        <v>405</v>
      </c>
      <c r="D71" s="361" t="s">
        <v>297</v>
      </c>
      <c r="E71" s="502"/>
      <c r="F71" s="1298" t="s">
        <v>401</v>
      </c>
      <c r="G71" s="502"/>
      <c r="H71" s="502"/>
      <c r="I71" s="1270"/>
    </row>
    <row r="72" spans="1:9" s="460" customFormat="1" hidden="1" outlineLevel="1" x14ac:dyDescent="0.25">
      <c r="A72" s="299"/>
      <c r="B72" s="900" t="str">
        <f>CONCATENATE("1 creat, 30', speed -10', Escape, ",IF(B$4&lt;2,"1 rd",IF(B$4&lt;2,"2 rds","1 min")))</f>
        <v>1 creat, 30', speed -10', Escape, 1 min</v>
      </c>
      <c r="C72" s="507" t="str">
        <f>CONCATENATE("1 creat, 120', att roll, ",C$4,"d4+",C$2," cold")</f>
        <v>1 creat, 120', att roll, 3d4+4 cold</v>
      </c>
      <c r="D72" s="507" t="str">
        <f>CONCATENATE("+1 AC, until next turn, block hardness ",5*INT((D$4+1)/2))</f>
        <v>+1 AC, until next turn, block hardness 10</v>
      </c>
      <c r="E72" s="512"/>
      <c r="F72" s="864" t="s">
        <v>579</v>
      </c>
      <c r="G72" s="512"/>
      <c r="H72" s="1057"/>
      <c r="I72" s="504"/>
    </row>
    <row r="73" spans="1:9" s="460" customFormat="1" hidden="1" outlineLevel="1" x14ac:dyDescent="0.25">
      <c r="A73" s="299"/>
      <c r="B73" s="898" t="s">
        <v>569</v>
      </c>
      <c r="C73" s="864" t="s">
        <v>569</v>
      </c>
      <c r="D73" s="507" t="s">
        <v>568</v>
      </c>
      <c r="E73" s="512"/>
      <c r="F73" s="864" t="s">
        <v>569</v>
      </c>
      <c r="G73" s="512"/>
      <c r="H73" s="1057"/>
      <c r="I73" s="504"/>
    </row>
    <row r="74" spans="1:9" s="460" customFormat="1" hidden="1" outlineLevel="1" x14ac:dyDescent="0.25">
      <c r="A74" s="299"/>
      <c r="B74" s="899"/>
      <c r="C74" s="899" t="s">
        <v>777</v>
      </c>
      <c r="D74" s="899" t="s">
        <v>777</v>
      </c>
      <c r="E74" s="899"/>
      <c r="F74" s="899" t="s">
        <v>777</v>
      </c>
      <c r="G74" s="877"/>
      <c r="H74" s="622"/>
      <c r="I74" s="884"/>
    </row>
    <row r="75" spans="1:9" collapsed="1" x14ac:dyDescent="0.25">
      <c r="A75" s="299"/>
      <c r="B75" s="361"/>
      <c r="C75" s="361" t="s">
        <v>297</v>
      </c>
      <c r="D75" s="361" t="s">
        <v>694</v>
      </c>
      <c r="E75" s="502"/>
      <c r="F75" s="1298" t="s">
        <v>331</v>
      </c>
      <c r="G75" s="502"/>
      <c r="H75" s="873"/>
      <c r="I75" s="362"/>
    </row>
    <row r="76" spans="1:9" s="460" customFormat="1" hidden="1" outlineLevel="1" x14ac:dyDescent="0.25">
      <c r="A76" s="299"/>
      <c r="B76" s="507"/>
      <c r="C76" s="507" t="str">
        <f>CONCATENATE("+1 AC, until next turn, block hardness ",5*INT((C$4+1)/2))</f>
        <v>+1 AC, until next turn, block hardness 10</v>
      </c>
      <c r="D76" s="507" t="str">
        <f>CONCATENATE("1 creat, 30', ",D$4,"d6+",D$2," damage")</f>
        <v>1 creat, 30', 3d6+4 damage</v>
      </c>
      <c r="E76" s="512"/>
      <c r="F76" s="1299" t="str">
        <f>CONCATENATE("1 object, Touch, Day, One, ",IF(F$4&lt;4,20,40),"' bright + ",IF(F$4&lt;4,20,40),"' dim")</f>
        <v>1 object, Touch, Day, One, 20' bright + 20' dim</v>
      </c>
      <c r="G76" s="512"/>
      <c r="H76" s="1057"/>
      <c r="I76" s="504"/>
    </row>
    <row r="77" spans="1:9" s="460" customFormat="1" hidden="1" outlineLevel="1" x14ac:dyDescent="0.25">
      <c r="A77" s="299"/>
      <c r="B77" s="507"/>
      <c r="C77" s="507" t="s">
        <v>568</v>
      </c>
      <c r="D77" s="864" t="s">
        <v>569</v>
      </c>
      <c r="E77" s="512"/>
      <c r="F77" s="1299" t="s">
        <v>569</v>
      </c>
      <c r="G77" s="512"/>
      <c r="H77" s="1057"/>
      <c r="I77" s="504"/>
    </row>
    <row r="78" spans="1:9" s="460" customFormat="1" hidden="1" outlineLevel="1" x14ac:dyDescent="0.25">
      <c r="A78" s="299"/>
      <c r="B78" s="899"/>
      <c r="C78" s="899" t="s">
        <v>777</v>
      </c>
      <c r="D78" s="899"/>
      <c r="E78" s="899"/>
      <c r="F78" s="1300" t="s">
        <v>777</v>
      </c>
      <c r="G78" s="877"/>
      <c r="H78" s="622"/>
      <c r="I78" s="884"/>
    </row>
    <row r="79" spans="1:9" s="460" customFormat="1" collapsed="1" x14ac:dyDescent="0.25">
      <c r="A79" s="299"/>
      <c r="B79" s="862"/>
      <c r="C79" s="862" t="s">
        <v>295</v>
      </c>
      <c r="D79" s="361"/>
      <c r="E79" s="502"/>
      <c r="F79" s="1297" t="s">
        <v>297</v>
      </c>
      <c r="G79" s="502"/>
      <c r="H79" s="873"/>
      <c r="I79" s="362"/>
    </row>
    <row r="80" spans="1:9" s="460" customFormat="1" hidden="1" outlineLevel="1" x14ac:dyDescent="0.25">
      <c r="A80" s="299"/>
      <c r="B80" s="507"/>
      <c r="C80" s="507" t="s">
        <v>578</v>
      </c>
      <c r="D80" s="507"/>
      <c r="E80" s="512"/>
      <c r="F80" s="507" t="str">
        <f>CONCATENATE("+1 AC, until next turn, block hardness ",5*INT((F$4+1)/2))</f>
        <v>+1 AC, until next turn, block hardness 10</v>
      </c>
      <c r="G80" s="512"/>
      <c r="H80" s="1057"/>
      <c r="I80" s="504"/>
    </row>
    <row r="81" spans="1:9" s="460" customFormat="1" hidden="1" outlineLevel="1" x14ac:dyDescent="0.25">
      <c r="A81" s="299"/>
      <c r="B81" s="864"/>
      <c r="C81" s="864" t="s">
        <v>569</v>
      </c>
      <c r="D81" s="507"/>
      <c r="E81" s="512"/>
      <c r="F81" s="507" t="s">
        <v>568</v>
      </c>
      <c r="G81" s="512"/>
      <c r="H81" s="1057"/>
      <c r="I81" s="504"/>
    </row>
    <row r="82" spans="1:9" s="460" customFormat="1" hidden="1" outlineLevel="1" x14ac:dyDescent="0.25">
      <c r="A82" s="299"/>
      <c r="B82" s="899"/>
      <c r="C82" s="899" t="s">
        <v>777</v>
      </c>
      <c r="D82" s="899"/>
      <c r="E82" s="899"/>
      <c r="F82" s="899" t="s">
        <v>777</v>
      </c>
      <c r="G82" s="877"/>
      <c r="H82" s="622"/>
      <c r="I82" s="884"/>
    </row>
    <row r="83" spans="1:9" s="460" customFormat="1" collapsed="1" x14ac:dyDescent="0.25">
      <c r="A83" s="299"/>
      <c r="B83" s="361"/>
      <c r="C83" s="361" t="s">
        <v>409</v>
      </c>
      <c r="D83" s="361"/>
      <c r="E83" s="502"/>
      <c r="F83" s="1298" t="s">
        <v>298</v>
      </c>
      <c r="G83" s="502"/>
      <c r="H83" s="873"/>
      <c r="I83" s="362"/>
    </row>
    <row r="84" spans="1:9" s="460" customFormat="1" hidden="1" outlineLevel="1" x14ac:dyDescent="0.25">
      <c r="A84" s="299"/>
      <c r="B84" s="507"/>
      <c r="C84" s="507" t="str">
        <f>CONCATENATE("1 creat, Touch, FOR, ",C$4,"d4+",C$2," + special")</f>
        <v>1 creat, Touch, FOR, 3d4+4 + special</v>
      </c>
      <c r="D84" s="507"/>
      <c r="E84" s="512"/>
      <c r="F84" s="864" t="s">
        <v>774</v>
      </c>
      <c r="G84" s="512"/>
      <c r="H84" s="1057"/>
      <c r="I84" s="504"/>
    </row>
    <row r="85" spans="1:9" s="460" customFormat="1" hidden="1" outlineLevel="1" x14ac:dyDescent="0.25">
      <c r="A85" s="299"/>
      <c r="B85" s="864"/>
      <c r="C85" s="864" t="s">
        <v>569</v>
      </c>
      <c r="D85" s="507"/>
      <c r="E85" s="512"/>
      <c r="F85" s="864" t="s">
        <v>569</v>
      </c>
      <c r="G85" s="512"/>
      <c r="H85" s="1057"/>
      <c r="I85" s="504"/>
    </row>
    <row r="86" spans="1:9" s="460" customFormat="1" hidden="1" outlineLevel="1" x14ac:dyDescent="0.25">
      <c r="A86" s="299"/>
      <c r="B86" s="899"/>
      <c r="C86" s="899" t="s">
        <v>1014</v>
      </c>
      <c r="D86" s="899"/>
      <c r="E86" s="899"/>
      <c r="F86" s="899"/>
      <c r="G86" s="877"/>
      <c r="H86" s="622"/>
      <c r="I86" s="884"/>
    </row>
    <row r="87" spans="1:9" s="460" customFormat="1" collapsed="1" x14ac:dyDescent="0.25">
      <c r="A87" s="299"/>
      <c r="B87" s="501"/>
      <c r="C87" s="501" t="s">
        <v>752</v>
      </c>
      <c r="D87" s="361"/>
      <c r="E87" s="502"/>
      <c r="F87" s="863"/>
      <c r="G87" s="502"/>
      <c r="H87" s="873"/>
      <c r="I87" s="362"/>
    </row>
    <row r="88" spans="1:9" s="460" customFormat="1" hidden="1" outlineLevel="1" x14ac:dyDescent="0.25">
      <c r="A88" s="299"/>
      <c r="B88" s="507"/>
      <c r="C88" s="507" t="s">
        <v>1029</v>
      </c>
      <c r="D88" s="507"/>
      <c r="E88" s="512"/>
      <c r="F88" s="864"/>
      <c r="G88" s="512"/>
      <c r="H88" s="1057"/>
      <c r="I88" s="504"/>
    </row>
    <row r="89" spans="1:9" s="460" customFormat="1" hidden="1" outlineLevel="1" x14ac:dyDescent="0.25">
      <c r="A89" s="299"/>
      <c r="B89" s="864"/>
      <c r="C89" s="896" t="s">
        <v>569</v>
      </c>
      <c r="D89" s="507"/>
      <c r="E89" s="512"/>
      <c r="F89" s="864"/>
      <c r="G89" s="512"/>
      <c r="H89" s="1057"/>
      <c r="I89" s="504"/>
    </row>
    <row r="90" spans="1:9" s="460" customFormat="1" hidden="1" outlineLevel="1" x14ac:dyDescent="0.25">
      <c r="A90" s="299"/>
      <c r="B90" s="899"/>
      <c r="C90" s="899" t="s">
        <v>777</v>
      </c>
      <c r="D90" s="899"/>
      <c r="E90" s="899"/>
      <c r="F90" s="899"/>
      <c r="G90" s="877"/>
      <c r="H90" s="622"/>
      <c r="I90" s="884"/>
    </row>
    <row r="91" spans="1:9" s="460" customFormat="1" collapsed="1" x14ac:dyDescent="0.25">
      <c r="A91" s="299"/>
      <c r="B91" s="501"/>
      <c r="C91" s="501" t="s">
        <v>753</v>
      </c>
      <c r="D91" s="863"/>
      <c r="E91" s="502"/>
      <c r="F91" s="863"/>
      <c r="G91" s="502"/>
      <c r="H91" s="873"/>
      <c r="I91" s="362"/>
    </row>
    <row r="92" spans="1:9" s="460" customFormat="1" hidden="1" outlineLevel="1" x14ac:dyDescent="0.25">
      <c r="A92" s="299"/>
      <c r="B92" s="507"/>
      <c r="C92" s="507" t="str">
        <f>CONCATENATE("30', 2 cases, 1min, BREF, ",C$4,"d4+",C$2," &amp; difficult terrain")</f>
        <v>30', 2 cases, 1min, BREF, 3d4+4 &amp; difficult terrain</v>
      </c>
      <c r="D92" s="864"/>
      <c r="E92" s="512"/>
      <c r="F92" s="864"/>
      <c r="G92" s="512"/>
      <c r="H92" s="1057"/>
      <c r="I92" s="504"/>
    </row>
    <row r="93" spans="1:9" s="460" customFormat="1" hidden="1" outlineLevel="1" x14ac:dyDescent="0.25">
      <c r="A93" s="299"/>
      <c r="B93" s="864"/>
      <c r="C93" s="864" t="s">
        <v>569</v>
      </c>
      <c r="D93" s="864"/>
      <c r="E93" s="512"/>
      <c r="F93" s="864"/>
      <c r="G93" s="512"/>
      <c r="H93" s="1057"/>
      <c r="I93" s="504"/>
    </row>
    <row r="94" spans="1:9" s="460" customFormat="1" hidden="1" outlineLevel="1" x14ac:dyDescent="0.25">
      <c r="A94" s="299"/>
      <c r="B94" s="899"/>
      <c r="C94" s="899" t="s">
        <v>777</v>
      </c>
      <c r="D94" s="899"/>
      <c r="E94" s="899"/>
      <c r="F94" s="899"/>
      <c r="G94" s="877"/>
      <c r="H94" s="622"/>
      <c r="I94" s="884"/>
    </row>
    <row r="95" spans="1:9" s="130" customFormat="1" collapsed="1" x14ac:dyDescent="0.25">
      <c r="A95" s="299"/>
      <c r="B95" s="361"/>
      <c r="C95" s="361" t="s">
        <v>708</v>
      </c>
      <c r="D95" s="863"/>
      <c r="E95" s="502"/>
      <c r="F95" s="863"/>
      <c r="G95" s="502"/>
      <c r="H95" s="873"/>
      <c r="I95" s="362"/>
    </row>
    <row r="96" spans="1:9" s="130" customFormat="1" hidden="1" outlineLevel="1" x14ac:dyDescent="0.25">
      <c r="A96" s="299"/>
      <c r="B96" s="507"/>
      <c r="C96" s="507" t="s">
        <v>709</v>
      </c>
      <c r="D96" s="864"/>
      <c r="E96" s="512"/>
      <c r="F96" s="864"/>
      <c r="G96" s="512"/>
      <c r="H96" s="1057"/>
      <c r="I96" s="504"/>
    </row>
    <row r="97" spans="1:9" s="460" customFormat="1" ht="15.75" hidden="1" outlineLevel="1" thickBot="1" x14ac:dyDescent="0.3">
      <c r="A97" s="499"/>
      <c r="B97" s="866"/>
      <c r="C97" s="866" t="s">
        <v>569</v>
      </c>
      <c r="D97" s="866"/>
      <c r="E97" s="513"/>
      <c r="F97" s="866"/>
      <c r="G97" s="513"/>
      <c r="H97" s="1059"/>
      <c r="I97" s="505"/>
    </row>
    <row r="98" spans="1:9" s="460" customFormat="1" hidden="1" outlineLevel="1" x14ac:dyDescent="0.25">
      <c r="A98" s="299"/>
      <c r="B98" s="1275" t="s">
        <v>105</v>
      </c>
      <c r="C98" s="899" t="s">
        <v>884</v>
      </c>
      <c r="D98" s="1205" t="s">
        <v>105</v>
      </c>
      <c r="E98" s="899"/>
      <c r="F98" s="1205" t="s">
        <v>105</v>
      </c>
      <c r="G98" s="877"/>
      <c r="H98" s="622"/>
      <c r="I98" s="884"/>
    </row>
    <row r="99" spans="1:9" s="460" customFormat="1" collapsed="1" x14ac:dyDescent="0.25">
      <c r="A99" s="299" t="s">
        <v>166</v>
      </c>
      <c r="B99" s="1292" t="s">
        <v>414</v>
      </c>
      <c r="C99" s="1297" t="s">
        <v>885</v>
      </c>
      <c r="D99" s="1294" t="s">
        <v>411</v>
      </c>
      <c r="E99" s="502"/>
      <c r="F99" s="1294" t="s">
        <v>411</v>
      </c>
      <c r="G99" s="502"/>
      <c r="H99" s="873"/>
      <c r="I99" s="362"/>
    </row>
    <row r="100" spans="1:9" s="460" customFormat="1" hidden="1" outlineLevel="1" x14ac:dyDescent="0.25">
      <c r="A100" s="299"/>
      <c r="B100" s="900" t="s">
        <v>571</v>
      </c>
      <c r="C100" s="507" t="s">
        <v>574</v>
      </c>
      <c r="D100" s="864" t="s">
        <v>819</v>
      </c>
      <c r="E100" s="512"/>
      <c r="F100" s="864" t="s">
        <v>819</v>
      </c>
      <c r="G100" s="512"/>
      <c r="H100" s="1057"/>
      <c r="I100" s="504"/>
    </row>
    <row r="101" spans="1:9" s="460" customFormat="1" hidden="1" outlineLevel="1" x14ac:dyDescent="0.25">
      <c r="A101" s="299"/>
      <c r="B101" s="901" t="s">
        <v>569</v>
      </c>
      <c r="C101" s="896" t="s">
        <v>569</v>
      </c>
      <c r="D101" s="896" t="s">
        <v>569</v>
      </c>
      <c r="E101" s="881"/>
      <c r="F101" s="896" t="s">
        <v>569</v>
      </c>
      <c r="G101" s="881"/>
      <c r="H101" s="1058"/>
      <c r="I101" s="883"/>
    </row>
    <row r="102" spans="1:9" s="460" customFormat="1" hidden="1" outlineLevel="1" x14ac:dyDescent="0.25">
      <c r="A102" s="299"/>
      <c r="B102" s="1276" t="s">
        <v>105</v>
      </c>
      <c r="C102" s="1205" t="s">
        <v>884</v>
      </c>
      <c r="D102" s="1205" t="s">
        <v>105</v>
      </c>
      <c r="E102" s="1205"/>
      <c r="F102" s="1205" t="s">
        <v>105</v>
      </c>
      <c r="G102" s="902"/>
      <c r="H102" s="902"/>
      <c r="I102" s="903"/>
    </row>
    <row r="103" spans="1:9" s="460" customFormat="1" collapsed="1" x14ac:dyDescent="0.25">
      <c r="A103" s="299"/>
      <c r="B103" s="1293" t="s">
        <v>413</v>
      </c>
      <c r="C103" s="1294" t="s">
        <v>475</v>
      </c>
      <c r="D103" s="1294" t="s">
        <v>408</v>
      </c>
      <c r="E103" s="502"/>
      <c r="F103" s="1294" t="s">
        <v>411</v>
      </c>
      <c r="G103" s="502"/>
      <c r="H103" s="873"/>
      <c r="I103" s="362"/>
    </row>
    <row r="104" spans="1:9" s="460" customFormat="1" hidden="1" outlineLevel="1" x14ac:dyDescent="0.25">
      <c r="A104" s="299"/>
      <c r="B104" s="867" t="s">
        <v>773</v>
      </c>
      <c r="C104" s="514" t="s">
        <v>575</v>
      </c>
      <c r="D104" s="514" t="s">
        <v>698</v>
      </c>
      <c r="E104" s="512"/>
      <c r="F104" s="864" t="s">
        <v>819</v>
      </c>
      <c r="G104" s="512"/>
      <c r="H104" s="1057"/>
      <c r="I104" s="504"/>
    </row>
    <row r="105" spans="1:9" s="460" customFormat="1" hidden="1" outlineLevel="1" x14ac:dyDescent="0.25">
      <c r="A105" s="299"/>
      <c r="B105" s="904" t="s">
        <v>572</v>
      </c>
      <c r="C105" s="896" t="s">
        <v>569</v>
      </c>
      <c r="D105" s="896" t="s">
        <v>695</v>
      </c>
      <c r="E105" s="881"/>
      <c r="F105" s="896" t="s">
        <v>569</v>
      </c>
      <c r="G105" s="881"/>
      <c r="H105" s="1058"/>
      <c r="I105" s="883"/>
    </row>
    <row r="106" spans="1:9" s="460" customFormat="1" hidden="1" outlineLevel="1" x14ac:dyDescent="0.25">
      <c r="A106" s="299"/>
      <c r="B106" s="1276" t="s">
        <v>105</v>
      </c>
      <c r="C106" s="1205" t="s">
        <v>105</v>
      </c>
      <c r="D106" s="1205" t="s">
        <v>889</v>
      </c>
      <c r="E106" s="1205"/>
      <c r="F106" s="1205" t="s">
        <v>105</v>
      </c>
      <c r="G106" s="902"/>
      <c r="H106" s="902"/>
      <c r="I106" s="903"/>
    </row>
    <row r="107" spans="1:9" s="460" customFormat="1" collapsed="1" x14ac:dyDescent="0.25">
      <c r="A107" s="299"/>
      <c r="B107" s="1293" t="s">
        <v>473</v>
      </c>
      <c r="C107" s="1294" t="s">
        <v>464</v>
      </c>
      <c r="D107" s="1316" t="s">
        <v>891</v>
      </c>
      <c r="E107" s="502"/>
      <c r="F107" s="1294" t="s">
        <v>293</v>
      </c>
      <c r="G107" s="502"/>
      <c r="H107" s="873"/>
      <c r="I107" s="362"/>
    </row>
    <row r="108" spans="1:9" s="460" customFormat="1" hidden="1" outlineLevel="1" x14ac:dyDescent="0.25">
      <c r="A108" s="299"/>
      <c r="B108" s="867" t="str">
        <f>CONCATENATE("1 tree, 30', 1 min, AC10, ",B$4*10,"HP")</f>
        <v>1 tree, 30', 1 min, AC10, 30HP</v>
      </c>
      <c r="C108" s="514" t="s">
        <v>760</v>
      </c>
      <c r="D108" s="514" t="s">
        <v>717</v>
      </c>
      <c r="E108" s="512"/>
      <c r="F108" s="864" t="s">
        <v>573</v>
      </c>
      <c r="G108" s="512"/>
      <c r="H108" s="1057"/>
      <c r="I108" s="504"/>
    </row>
    <row r="109" spans="1:9" s="460" customFormat="1" hidden="1" outlineLevel="1" x14ac:dyDescent="0.25">
      <c r="A109" s="299"/>
      <c r="B109" s="904" t="s">
        <v>569</v>
      </c>
      <c r="C109" s="896" t="s">
        <v>569</v>
      </c>
      <c r="D109" s="896" t="s">
        <v>569</v>
      </c>
      <c r="E109" s="881"/>
      <c r="F109" s="896" t="s">
        <v>569</v>
      </c>
      <c r="G109" s="881"/>
      <c r="H109" s="1058"/>
      <c r="I109" s="883"/>
    </row>
    <row r="110" spans="1:9" s="460" customFormat="1" hidden="1" outlineLevel="1" x14ac:dyDescent="0.25">
      <c r="A110" s="299"/>
      <c r="B110" s="1276" t="s">
        <v>107</v>
      </c>
      <c r="C110" s="1205" t="s">
        <v>105</v>
      </c>
      <c r="D110" s="899" t="s">
        <v>893</v>
      </c>
      <c r="E110" s="1205"/>
      <c r="F110" s="1205" t="str">
        <f>CONCATENATE("Font Level ",F4," : ",1+Stats!F$16,"/day")</f>
        <v>Font Level 3 : 4/day</v>
      </c>
      <c r="G110" s="902"/>
      <c r="H110" s="902"/>
      <c r="I110" s="903"/>
    </row>
    <row r="111" spans="1:9" s="460" customFormat="1" collapsed="1" x14ac:dyDescent="0.25">
      <c r="A111" s="299"/>
      <c r="B111" s="1295" t="s">
        <v>769</v>
      </c>
      <c r="C111" s="1294" t="s">
        <v>465</v>
      </c>
      <c r="D111" s="1297" t="s">
        <v>894</v>
      </c>
      <c r="E111" s="502"/>
      <c r="F111" s="1297" t="s">
        <v>413</v>
      </c>
      <c r="G111" s="502"/>
      <c r="H111" s="873"/>
      <c r="I111" s="362"/>
    </row>
    <row r="112" spans="1:9" s="460" customFormat="1" hidden="1" outlineLevel="1" x14ac:dyDescent="0.25">
      <c r="A112" s="299"/>
      <c r="B112" s="867" t="s">
        <v>770</v>
      </c>
      <c r="C112" s="514" t="s">
        <v>761</v>
      </c>
      <c r="D112" s="507" t="s">
        <v>699</v>
      </c>
      <c r="E112" s="512"/>
      <c r="F112" s="864" t="str">
        <f>CONCATENATE("1 creat//30', Touch/30', ",F$4,"d8/",F$4,"d8+",F$4*8,"//",F$4,"d8")</f>
        <v>1 creat//30', Touch/30', 3d8/3d8+24//3d8</v>
      </c>
      <c r="G112" s="512"/>
      <c r="H112" s="1057"/>
      <c r="I112" s="504"/>
    </row>
    <row r="113" spans="1:11" s="460" customFormat="1" hidden="1" outlineLevel="1" x14ac:dyDescent="0.25">
      <c r="A113" s="299"/>
      <c r="B113" s="904" t="s">
        <v>569</v>
      </c>
      <c r="C113" s="896" t="s">
        <v>576</v>
      </c>
      <c r="D113" s="882" t="s">
        <v>568</v>
      </c>
      <c r="E113" s="881"/>
      <c r="F113" s="896" t="s">
        <v>572</v>
      </c>
      <c r="G113" s="881"/>
      <c r="H113" s="1058"/>
      <c r="I113" s="883"/>
    </row>
    <row r="114" spans="1:11" s="460" customFormat="1" hidden="1" outlineLevel="1" x14ac:dyDescent="0.25">
      <c r="A114" s="299"/>
      <c r="B114" s="1276" t="s">
        <v>107</v>
      </c>
      <c r="C114" s="1205" t="s">
        <v>884</v>
      </c>
      <c r="D114" s="1205" t="s">
        <v>107</v>
      </c>
      <c r="E114" s="1205"/>
      <c r="F114" s="1205" t="s">
        <v>887</v>
      </c>
      <c r="G114" s="902"/>
      <c r="H114" s="902"/>
      <c r="I114" s="903"/>
    </row>
    <row r="115" spans="1:11" s="460" customFormat="1" collapsed="1" x14ac:dyDescent="0.25">
      <c r="A115" s="299"/>
      <c r="B115" s="1296" t="s">
        <v>876</v>
      </c>
      <c r="C115" s="1294" t="s">
        <v>754</v>
      </c>
      <c r="D115" s="1296" t="s">
        <v>759</v>
      </c>
      <c r="E115" s="502"/>
      <c r="F115" s="1296" t="s">
        <v>888</v>
      </c>
      <c r="G115" s="502"/>
      <c r="H115" s="873"/>
      <c r="I115" s="362"/>
    </row>
    <row r="116" spans="1:11" s="460" customFormat="1" hidden="1" outlineLevel="1" x14ac:dyDescent="0.25">
      <c r="A116" s="299"/>
      <c r="B116" s="514" t="s">
        <v>878</v>
      </c>
      <c r="C116" s="514" t="s">
        <v>786</v>
      </c>
      <c r="D116" s="514" t="s">
        <v>766</v>
      </c>
      <c r="E116" s="512"/>
      <c r="F116" s="512" t="s">
        <v>801</v>
      </c>
      <c r="G116" s="512"/>
      <c r="H116" s="1057"/>
      <c r="I116" s="504"/>
    </row>
    <row r="117" spans="1:11" s="460" customFormat="1" hidden="1" outlineLevel="1" x14ac:dyDescent="0.25">
      <c r="A117" s="299"/>
      <c r="B117" s="896" t="s">
        <v>877</v>
      </c>
      <c r="C117" s="896" t="s">
        <v>566</v>
      </c>
      <c r="D117" s="897" t="s">
        <v>762</v>
      </c>
      <c r="E117" s="881"/>
      <c r="F117" s="896" t="s">
        <v>569</v>
      </c>
      <c r="G117" s="881"/>
      <c r="H117" s="1058"/>
      <c r="I117" s="883"/>
    </row>
    <row r="118" spans="1:11" s="460" customFormat="1" hidden="1" outlineLevel="1" x14ac:dyDescent="0.25">
      <c r="A118" s="299"/>
      <c r="B118" s="1276" t="s">
        <v>107</v>
      </c>
      <c r="C118" s="1205" t="s">
        <v>105</v>
      </c>
      <c r="D118" s="1205" t="s">
        <v>890</v>
      </c>
      <c r="E118" s="1205"/>
      <c r="F118" s="1205" t="s">
        <v>107</v>
      </c>
      <c r="G118" s="902"/>
      <c r="H118" s="902"/>
      <c r="I118" s="903"/>
      <c r="K118" s="1205" t="s">
        <v>107</v>
      </c>
    </row>
    <row r="119" spans="1:11" s="460" customFormat="1" collapsed="1" x14ac:dyDescent="0.25">
      <c r="A119" s="299"/>
      <c r="B119" s="1295" t="s">
        <v>413</v>
      </c>
      <c r="C119" s="1294" t="s">
        <v>755</v>
      </c>
      <c r="D119" s="1316" t="s">
        <v>892</v>
      </c>
      <c r="E119" s="502"/>
      <c r="F119" s="1296" t="s">
        <v>1050</v>
      </c>
      <c r="G119" s="502"/>
      <c r="H119" s="873"/>
      <c r="I119" s="362"/>
      <c r="K119" s="1296" t="s">
        <v>798</v>
      </c>
    </row>
    <row r="120" spans="1:11" s="460" customFormat="1" hidden="1" outlineLevel="1" x14ac:dyDescent="0.25">
      <c r="A120" s="299"/>
      <c r="B120" s="867" t="s">
        <v>772</v>
      </c>
      <c r="C120" s="514" t="s">
        <v>765</v>
      </c>
      <c r="D120" s="514" t="str">
        <f>CONCATENATE("You, 8 hours, ",6+D$2," temp HP")</f>
        <v>You, 8 hours, 10 temp HP</v>
      </c>
      <c r="E120" s="512"/>
      <c r="F120" s="864" t="s">
        <v>1053</v>
      </c>
      <c r="G120" s="512"/>
      <c r="H120" s="1057"/>
      <c r="I120" s="504"/>
      <c r="K120" s="864" t="s">
        <v>800</v>
      </c>
    </row>
    <row r="121" spans="1:11" s="460" customFormat="1" hidden="1" outlineLevel="1" x14ac:dyDescent="0.25">
      <c r="A121" s="299"/>
      <c r="B121" s="896" t="s">
        <v>569</v>
      </c>
      <c r="C121" s="896" t="s">
        <v>1030</v>
      </c>
      <c r="D121" s="896" t="s">
        <v>569</v>
      </c>
      <c r="E121" s="881"/>
      <c r="F121" s="896" t="s">
        <v>696</v>
      </c>
      <c r="G121" s="881"/>
      <c r="H121" s="1058"/>
      <c r="I121" s="883"/>
      <c r="K121" s="896" t="s">
        <v>799</v>
      </c>
    </row>
    <row r="122" spans="1:11" s="460" customFormat="1" hidden="1" outlineLevel="1" collapsed="1" x14ac:dyDescent="0.25">
      <c r="A122" s="299"/>
      <c r="B122" s="1205" t="s">
        <v>108</v>
      </c>
      <c r="C122" s="1205" t="s">
        <v>884</v>
      </c>
      <c r="D122" s="902" t="s">
        <v>895</v>
      </c>
      <c r="E122" s="1205"/>
      <c r="F122" s="1205" t="s">
        <v>107</v>
      </c>
      <c r="G122" s="902"/>
      <c r="H122" s="902"/>
      <c r="I122" s="903"/>
      <c r="K122" s="1205" t="s">
        <v>107</v>
      </c>
    </row>
    <row r="123" spans="1:11" s="460" customFormat="1" collapsed="1" x14ac:dyDescent="0.25">
      <c r="A123" s="299"/>
      <c r="B123" s="1301" t="s">
        <v>1002</v>
      </c>
      <c r="C123" s="1294" t="s">
        <v>756</v>
      </c>
      <c r="D123" s="1316" t="s">
        <v>891</v>
      </c>
      <c r="E123" s="502"/>
      <c r="F123" s="1296" t="s">
        <v>1047</v>
      </c>
      <c r="G123" s="502"/>
      <c r="H123" s="873"/>
      <c r="I123" s="362"/>
      <c r="K123" s="1296" t="s">
        <v>880</v>
      </c>
    </row>
    <row r="124" spans="1:11" s="460" customFormat="1" hidden="1" outlineLevel="1" x14ac:dyDescent="0.25">
      <c r="A124" s="299"/>
      <c r="B124" s="514" t="s">
        <v>1003</v>
      </c>
      <c r="C124" s="514" t="s">
        <v>1031</v>
      </c>
      <c r="D124" s="514" t="s">
        <v>783</v>
      </c>
      <c r="E124" s="512"/>
      <c r="F124" s="864" t="str">
        <f>CONCATENATE("Sust 1 min, melee sp att, 1d8+",F$2," force dmg")</f>
        <v>Sust 1 min, melee sp att, 1d8+4 force dmg</v>
      </c>
      <c r="G124" s="512"/>
      <c r="H124" s="1057"/>
      <c r="I124" s="504"/>
      <c r="K124" s="864" t="s">
        <v>882</v>
      </c>
    </row>
    <row r="125" spans="1:11" s="460" customFormat="1" hidden="1" outlineLevel="1" x14ac:dyDescent="0.25">
      <c r="A125" s="299"/>
      <c r="B125" s="897" t="s">
        <v>569</v>
      </c>
      <c r="C125" s="897" t="s">
        <v>569</v>
      </c>
      <c r="D125" s="897" t="s">
        <v>569</v>
      </c>
      <c r="E125" s="881"/>
      <c r="F125" s="896" t="s">
        <v>569</v>
      </c>
      <c r="G125" s="881"/>
      <c r="H125" s="1058"/>
      <c r="I125" s="883"/>
      <c r="K125" s="896" t="s">
        <v>881</v>
      </c>
    </row>
    <row r="126" spans="1:11" s="460" customFormat="1" hidden="1" outlineLevel="1" x14ac:dyDescent="0.25">
      <c r="A126" s="299"/>
      <c r="B126" s="1205" t="s">
        <v>108</v>
      </c>
      <c r="C126" s="902" t="s">
        <v>105</v>
      </c>
      <c r="D126" s="1205" t="s">
        <v>107</v>
      </c>
      <c r="E126" s="902"/>
      <c r="F126" s="1205" t="s">
        <v>108</v>
      </c>
      <c r="G126" s="902"/>
      <c r="H126" s="902"/>
      <c r="I126" s="903"/>
    </row>
    <row r="127" spans="1:11" s="460" customFormat="1" collapsed="1" x14ac:dyDescent="0.25">
      <c r="A127" s="299"/>
      <c r="B127" s="1301" t="s">
        <v>1002</v>
      </c>
      <c r="C127" s="1294" t="s">
        <v>757</v>
      </c>
      <c r="D127" s="1296" t="s">
        <v>784</v>
      </c>
      <c r="E127" s="502"/>
      <c r="F127" s="1301" t="s">
        <v>1048</v>
      </c>
      <c r="G127" s="502"/>
      <c r="H127" s="873"/>
      <c r="I127" s="362"/>
    </row>
    <row r="128" spans="1:11" s="460" customFormat="1" hidden="1" outlineLevel="1" x14ac:dyDescent="0.25">
      <c r="A128" s="299"/>
      <c r="B128" s="514" t="s">
        <v>1003</v>
      </c>
      <c r="C128" s="514" t="s">
        <v>764</v>
      </c>
      <c r="D128" s="514" t="s">
        <v>785</v>
      </c>
      <c r="E128" s="512"/>
      <c r="F128" s="864" t="s">
        <v>1052</v>
      </c>
      <c r="G128" s="512"/>
      <c r="H128" s="1057"/>
      <c r="I128" s="504"/>
    </row>
    <row r="129" spans="1:9" s="460" customFormat="1" hidden="1" outlineLevel="1" x14ac:dyDescent="0.25">
      <c r="A129" s="299"/>
      <c r="B129" s="897" t="s">
        <v>569</v>
      </c>
      <c r="C129" s="897" t="s">
        <v>569</v>
      </c>
      <c r="D129" s="896" t="s">
        <v>569</v>
      </c>
      <c r="E129" s="881"/>
      <c r="F129" s="897" t="s">
        <v>569</v>
      </c>
      <c r="G129" s="881"/>
      <c r="H129" s="1058"/>
      <c r="I129" s="883"/>
    </row>
    <row r="130" spans="1:9" s="460" customFormat="1" hidden="1" outlineLevel="1" x14ac:dyDescent="0.25">
      <c r="A130" s="299"/>
      <c r="B130" s="902"/>
      <c r="C130" s="902" t="s">
        <v>107</v>
      </c>
      <c r="D130" s="902" t="s">
        <v>1039</v>
      </c>
      <c r="E130" s="902"/>
      <c r="F130" s="1205" t="s">
        <v>108</v>
      </c>
      <c r="G130" s="902"/>
      <c r="H130" s="902"/>
      <c r="I130" s="903"/>
    </row>
    <row r="131" spans="1:9" s="460" customFormat="1" collapsed="1" x14ac:dyDescent="0.25">
      <c r="A131" s="299"/>
      <c r="B131" s="361"/>
      <c r="C131" s="1296" t="s">
        <v>759</v>
      </c>
      <c r="D131" s="1316" t="s">
        <v>892</v>
      </c>
      <c r="E131" s="502"/>
      <c r="F131" s="1301" t="s">
        <v>1049</v>
      </c>
      <c r="G131" s="502"/>
      <c r="H131" s="873"/>
      <c r="I131" s="362"/>
    </row>
    <row r="132" spans="1:9" s="460" customFormat="1" hidden="1" outlineLevel="1" x14ac:dyDescent="0.25">
      <c r="A132" s="299"/>
      <c r="B132" s="514"/>
      <c r="C132" s="514" t="s">
        <v>766</v>
      </c>
      <c r="D132" s="514" t="str">
        <f>CONCATENATE("You, 8 hours, ",6+D$2+3," temp HP")</f>
        <v>You, 8 hours, 13 temp HP</v>
      </c>
      <c r="E132" s="512"/>
      <c r="F132" s="864" t="s">
        <v>1051</v>
      </c>
      <c r="G132" s="512"/>
      <c r="H132" s="1057"/>
      <c r="I132" s="504"/>
    </row>
    <row r="133" spans="1:9" s="460" customFormat="1" hidden="1" outlineLevel="1" x14ac:dyDescent="0.25">
      <c r="A133" s="299"/>
      <c r="B133" s="897"/>
      <c r="C133" s="897" t="s">
        <v>762</v>
      </c>
      <c r="D133" s="896" t="s">
        <v>569</v>
      </c>
      <c r="E133" s="881"/>
      <c r="F133" s="897" t="s">
        <v>569</v>
      </c>
      <c r="G133" s="881"/>
      <c r="H133" s="1058"/>
      <c r="I133" s="883"/>
    </row>
    <row r="134" spans="1:9" s="460" customFormat="1" hidden="1" outlineLevel="1" x14ac:dyDescent="0.25">
      <c r="A134" s="299"/>
      <c r="B134" s="902"/>
      <c r="C134" s="902" t="s">
        <v>107</v>
      </c>
      <c r="D134" s="902" t="s">
        <v>108</v>
      </c>
      <c r="E134" s="902"/>
      <c r="F134" s="902"/>
      <c r="G134" s="902"/>
      <c r="H134" s="902"/>
      <c r="I134" s="903"/>
    </row>
    <row r="135" spans="1:9" s="460" customFormat="1" collapsed="1" x14ac:dyDescent="0.25">
      <c r="A135" s="299"/>
      <c r="B135" s="361"/>
      <c r="C135" s="1296" t="s">
        <v>908</v>
      </c>
      <c r="D135" s="1301" t="s">
        <v>1035</v>
      </c>
      <c r="E135" s="502"/>
      <c r="F135" s="361"/>
      <c r="G135" s="502"/>
      <c r="H135" s="873"/>
      <c r="I135" s="362"/>
    </row>
    <row r="136" spans="1:9" s="460" customFormat="1" hidden="1" outlineLevel="1" x14ac:dyDescent="0.25">
      <c r="A136" s="299"/>
      <c r="B136" s="514"/>
      <c r="C136" s="514" t="s">
        <v>911</v>
      </c>
      <c r="D136" s="514" t="s">
        <v>1041</v>
      </c>
      <c r="E136" s="512"/>
      <c r="F136" s="864"/>
      <c r="G136" s="512"/>
      <c r="H136" s="1057"/>
      <c r="I136" s="504"/>
    </row>
    <row r="137" spans="1:9" s="460" customFormat="1" hidden="1" outlineLevel="1" x14ac:dyDescent="0.25">
      <c r="A137" s="299"/>
      <c r="B137" s="897"/>
      <c r="C137" s="896" t="s">
        <v>569</v>
      </c>
      <c r="D137" s="897" t="s">
        <v>569</v>
      </c>
      <c r="E137" s="881"/>
      <c r="F137" s="896"/>
      <c r="G137" s="881"/>
      <c r="H137" s="1058"/>
      <c r="I137" s="883"/>
    </row>
    <row r="138" spans="1:9" s="460" customFormat="1" hidden="1" outlineLevel="1" x14ac:dyDescent="0.25">
      <c r="A138" s="299"/>
      <c r="B138" s="902"/>
      <c r="C138" s="1205" t="s">
        <v>107</v>
      </c>
      <c r="D138" s="902" t="s">
        <v>1039</v>
      </c>
      <c r="E138" s="902"/>
      <c r="F138" s="902"/>
      <c r="G138" s="902"/>
      <c r="H138" s="902"/>
      <c r="I138" s="903"/>
    </row>
    <row r="139" spans="1:9" s="460" customFormat="1" collapsed="1" x14ac:dyDescent="0.25">
      <c r="A139" s="299"/>
      <c r="B139" s="361"/>
      <c r="C139" s="1296" t="s">
        <v>909</v>
      </c>
      <c r="D139" s="1316" t="s">
        <v>891</v>
      </c>
      <c r="E139" s="502"/>
      <c r="F139" s="361"/>
      <c r="G139" s="502"/>
      <c r="H139" s="873"/>
      <c r="I139" s="362"/>
    </row>
    <row r="140" spans="1:9" s="460" customFormat="1" hidden="1" outlineLevel="1" x14ac:dyDescent="0.25">
      <c r="A140" s="299"/>
      <c r="B140" s="514"/>
      <c r="C140" s="514" t="s">
        <v>910</v>
      </c>
      <c r="D140" s="514" t="s">
        <v>1040</v>
      </c>
      <c r="E140" s="512"/>
      <c r="F140" s="864"/>
      <c r="G140" s="512"/>
      <c r="H140" s="1057"/>
      <c r="I140" s="504"/>
    </row>
    <row r="141" spans="1:9" s="460" customFormat="1" hidden="1" outlineLevel="1" x14ac:dyDescent="0.25">
      <c r="A141" s="299"/>
      <c r="B141" s="897"/>
      <c r="C141" s="896" t="s">
        <v>569</v>
      </c>
      <c r="D141" s="897" t="s">
        <v>569</v>
      </c>
      <c r="E141" s="881"/>
      <c r="F141" s="896"/>
      <c r="G141" s="881"/>
      <c r="H141" s="1058"/>
      <c r="I141" s="883"/>
    </row>
    <row r="142" spans="1:9" s="460" customFormat="1" hidden="1" outlineLevel="1" collapsed="1" x14ac:dyDescent="0.25">
      <c r="A142" s="299"/>
      <c r="B142" s="902"/>
      <c r="C142" s="902" t="s">
        <v>107</v>
      </c>
      <c r="D142" s="1205" t="s">
        <v>1043</v>
      </c>
      <c r="E142" s="902"/>
      <c r="F142" s="902"/>
      <c r="G142" s="902"/>
      <c r="H142" s="902"/>
      <c r="I142" s="903"/>
    </row>
    <row r="143" spans="1:9" s="460" customFormat="1" collapsed="1" x14ac:dyDescent="0.25">
      <c r="A143" s="299"/>
      <c r="B143" s="361"/>
      <c r="C143" s="1296" t="s">
        <v>758</v>
      </c>
      <c r="D143" s="1316" t="s">
        <v>1042</v>
      </c>
      <c r="E143" s="502"/>
      <c r="F143" s="361"/>
      <c r="G143" s="502"/>
      <c r="H143" s="873"/>
      <c r="I143" s="362"/>
    </row>
    <row r="144" spans="1:9" s="460" customFormat="1" hidden="1" outlineLevel="1" x14ac:dyDescent="0.25">
      <c r="A144" s="299"/>
      <c r="B144" s="514"/>
      <c r="C144" s="514" t="s">
        <v>763</v>
      </c>
      <c r="D144" s="514" t="s">
        <v>1044</v>
      </c>
      <c r="E144" s="512"/>
      <c r="F144" s="864"/>
      <c r="G144" s="512"/>
      <c r="H144" s="1057"/>
      <c r="I144" s="504"/>
    </row>
    <row r="145" spans="1:9" s="460" customFormat="1" hidden="1" outlineLevel="1" x14ac:dyDescent="0.25">
      <c r="A145" s="299"/>
      <c r="B145" s="897"/>
      <c r="C145" s="897" t="s">
        <v>569</v>
      </c>
      <c r="D145" s="897" t="s">
        <v>569</v>
      </c>
      <c r="E145" s="881"/>
      <c r="F145" s="896"/>
      <c r="G145" s="881"/>
      <c r="H145" s="1058"/>
      <c r="I145" s="883"/>
    </row>
    <row r="146" spans="1:9" s="460" customFormat="1" hidden="1" outlineLevel="1" x14ac:dyDescent="0.25">
      <c r="A146" s="299"/>
      <c r="B146" s="902"/>
      <c r="C146" s="902" t="s">
        <v>883</v>
      </c>
      <c r="D146" s="902"/>
      <c r="E146" s="902"/>
      <c r="F146" s="902"/>
      <c r="G146" s="902"/>
      <c r="H146" s="902"/>
      <c r="I146" s="903"/>
    </row>
    <row r="147" spans="1:9" s="460" customFormat="1" collapsed="1" x14ac:dyDescent="0.25">
      <c r="A147" s="299"/>
      <c r="B147" s="361"/>
      <c r="C147" s="1296" t="s">
        <v>886</v>
      </c>
      <c r="D147" s="361"/>
      <c r="E147" s="502"/>
      <c r="F147" s="361"/>
      <c r="G147" s="502"/>
      <c r="H147" s="873"/>
      <c r="I147" s="362"/>
    </row>
    <row r="148" spans="1:9" s="460" customFormat="1" hidden="1" outlineLevel="1" x14ac:dyDescent="0.25">
      <c r="A148" s="299"/>
      <c r="B148" s="514"/>
      <c r="C148" s="514" t="s">
        <v>767</v>
      </c>
      <c r="D148" s="514"/>
      <c r="E148" s="512"/>
      <c r="F148" s="864"/>
      <c r="G148" s="512"/>
      <c r="H148" s="1057"/>
      <c r="I148" s="504"/>
    </row>
    <row r="149" spans="1:9" s="460" customFormat="1" hidden="1" outlineLevel="1" x14ac:dyDescent="0.25">
      <c r="A149" s="299"/>
      <c r="B149" s="897"/>
      <c r="C149" s="897" t="s">
        <v>569</v>
      </c>
      <c r="D149" s="897"/>
      <c r="E149" s="881"/>
      <c r="F149" s="896"/>
      <c r="G149" s="881"/>
      <c r="H149" s="1058"/>
      <c r="I149" s="883"/>
    </row>
    <row r="150" spans="1:9" s="460" customFormat="1" hidden="1" outlineLevel="1" x14ac:dyDescent="0.25">
      <c r="A150" s="299"/>
      <c r="B150" s="902"/>
      <c r="C150" s="902" t="s">
        <v>1009</v>
      </c>
      <c r="D150" s="902"/>
      <c r="E150" s="902"/>
      <c r="F150" s="902"/>
      <c r="G150" s="902"/>
      <c r="H150" s="902"/>
      <c r="I150" s="903"/>
    </row>
    <row r="151" spans="1:9" s="460" customFormat="1" collapsed="1" x14ac:dyDescent="0.25">
      <c r="A151" s="299"/>
      <c r="B151" s="361"/>
      <c r="C151" s="1301" t="s">
        <v>1006</v>
      </c>
      <c r="D151" s="361"/>
      <c r="E151" s="502"/>
      <c r="F151" s="361"/>
      <c r="G151" s="502"/>
      <c r="H151" s="873"/>
      <c r="I151" s="362"/>
    </row>
    <row r="152" spans="1:9" s="460" customFormat="1" hidden="1" outlineLevel="1" x14ac:dyDescent="0.25">
      <c r="A152" s="299"/>
      <c r="B152" s="514"/>
      <c r="C152" s="864" t="s">
        <v>1026</v>
      </c>
      <c r="D152" s="514"/>
      <c r="E152" s="512"/>
      <c r="F152" s="864"/>
      <c r="G152" s="512"/>
      <c r="H152" s="1057"/>
      <c r="I152" s="504"/>
    </row>
    <row r="153" spans="1:9" s="460" customFormat="1" hidden="1" outlineLevel="1" x14ac:dyDescent="0.25">
      <c r="A153" s="299"/>
      <c r="B153" s="897"/>
      <c r="C153" s="896" t="s">
        <v>1028</v>
      </c>
      <c r="D153" s="897"/>
      <c r="E153" s="881"/>
      <c r="F153" s="896"/>
      <c r="G153" s="881"/>
      <c r="H153" s="1058"/>
      <c r="I153" s="883"/>
    </row>
    <row r="154" spans="1:9" s="460" customFormat="1" hidden="1" outlineLevel="1" x14ac:dyDescent="0.25">
      <c r="A154" s="299"/>
      <c r="B154" s="902"/>
      <c r="C154" s="902" t="s">
        <v>1009</v>
      </c>
      <c r="D154" s="902"/>
      <c r="E154" s="902"/>
      <c r="F154" s="902"/>
      <c r="G154" s="902"/>
      <c r="H154" s="902"/>
      <c r="I154" s="903"/>
    </row>
    <row r="155" spans="1:9" s="460" customFormat="1" collapsed="1" x14ac:dyDescent="0.25">
      <c r="A155" s="299"/>
      <c r="B155" s="361"/>
      <c r="C155" s="1301" t="s">
        <v>1007</v>
      </c>
      <c r="D155" s="361"/>
      <c r="E155" s="502"/>
      <c r="F155" s="361"/>
      <c r="G155" s="502"/>
      <c r="H155" s="873"/>
      <c r="I155" s="362"/>
    </row>
    <row r="156" spans="1:9" s="460" customFormat="1" hidden="1" outlineLevel="1" x14ac:dyDescent="0.25">
      <c r="A156" s="299"/>
      <c r="B156" s="514"/>
      <c r="C156" s="864" t="s">
        <v>1008</v>
      </c>
      <c r="D156" s="514"/>
      <c r="E156" s="512"/>
      <c r="F156" s="864"/>
      <c r="G156" s="512"/>
      <c r="H156" s="1057"/>
      <c r="I156" s="504"/>
    </row>
    <row r="157" spans="1:9" s="460" customFormat="1" hidden="1" outlineLevel="1" x14ac:dyDescent="0.25">
      <c r="A157" s="299"/>
      <c r="B157" s="897"/>
      <c r="C157" s="897" t="s">
        <v>569</v>
      </c>
      <c r="D157" s="897"/>
      <c r="E157" s="881"/>
      <c r="F157" s="896"/>
      <c r="G157" s="881"/>
      <c r="H157" s="1058"/>
      <c r="I157" s="883"/>
    </row>
    <row r="158" spans="1:9" s="460" customFormat="1" hidden="1" outlineLevel="1" x14ac:dyDescent="0.25">
      <c r="A158" s="299"/>
      <c r="B158" s="902"/>
      <c r="C158" s="902"/>
      <c r="D158" s="902"/>
      <c r="E158" s="902"/>
      <c r="F158" s="902"/>
      <c r="G158" s="902"/>
      <c r="H158" s="902"/>
      <c r="I158" s="903"/>
    </row>
    <row r="159" spans="1:9" s="460" customFormat="1" collapsed="1" x14ac:dyDescent="0.25">
      <c r="A159" s="299"/>
      <c r="B159" s="361"/>
      <c r="C159" s="361"/>
      <c r="D159" s="361"/>
      <c r="E159" s="502"/>
      <c r="F159" s="361"/>
      <c r="G159" s="502"/>
      <c r="H159" s="873"/>
      <c r="I159" s="362"/>
    </row>
    <row r="160" spans="1:9" s="460" customFormat="1" hidden="1" outlineLevel="1" x14ac:dyDescent="0.25">
      <c r="A160" s="299"/>
      <c r="B160" s="514"/>
      <c r="C160" s="514"/>
      <c r="D160" s="514"/>
      <c r="E160" s="512"/>
      <c r="F160" s="864"/>
      <c r="G160" s="512"/>
      <c r="H160" s="1057"/>
      <c r="I160" s="504"/>
    </row>
    <row r="161" spans="1:9" s="460" customFormat="1" hidden="1" outlineLevel="1" x14ac:dyDescent="0.25">
      <c r="A161" s="299"/>
      <c r="B161" s="897"/>
      <c r="C161" s="897"/>
      <c r="D161" s="897"/>
      <c r="E161" s="881"/>
      <c r="F161" s="896"/>
      <c r="G161" s="881"/>
      <c r="H161" s="1058"/>
      <c r="I161" s="883"/>
    </row>
    <row r="162" spans="1:9" s="460" customFormat="1" hidden="1" outlineLevel="1" x14ac:dyDescent="0.25">
      <c r="A162" s="299"/>
      <c r="B162" s="902"/>
      <c r="C162" s="902"/>
      <c r="D162" s="902"/>
      <c r="E162" s="902"/>
      <c r="F162" s="902"/>
      <c r="G162" s="902"/>
      <c r="H162" s="902"/>
      <c r="I162" s="903"/>
    </row>
    <row r="163" spans="1:9" s="460" customFormat="1" collapsed="1" x14ac:dyDescent="0.25">
      <c r="A163" s="299"/>
      <c r="B163" s="361"/>
      <c r="C163" s="361"/>
      <c r="D163" s="361"/>
      <c r="E163" s="502"/>
      <c r="F163" s="361"/>
      <c r="G163" s="502"/>
      <c r="H163" s="873"/>
      <c r="I163" s="362"/>
    </row>
    <row r="164" spans="1:9" s="460" customFormat="1" hidden="1" outlineLevel="1" x14ac:dyDescent="0.25">
      <c r="A164" s="299"/>
      <c r="B164" s="514"/>
      <c r="C164" s="514"/>
      <c r="D164" s="514"/>
      <c r="E164" s="512"/>
      <c r="F164" s="864"/>
      <c r="G164" s="512"/>
      <c r="H164" s="1057"/>
      <c r="I164" s="504"/>
    </row>
    <row r="165" spans="1:9" s="460" customFormat="1" hidden="1" outlineLevel="1" x14ac:dyDescent="0.25">
      <c r="A165" s="299"/>
      <c r="B165" s="897"/>
      <c r="C165" s="897"/>
      <c r="D165" s="897"/>
      <c r="E165" s="881"/>
      <c r="F165" s="896"/>
      <c r="G165" s="881"/>
      <c r="H165" s="1058"/>
      <c r="I165" s="883"/>
    </row>
    <row r="166" spans="1:9" s="460" customFormat="1" hidden="1" outlineLevel="1" x14ac:dyDescent="0.25">
      <c r="A166" s="299"/>
      <c r="B166" s="902"/>
      <c r="C166" s="902"/>
      <c r="D166" s="902"/>
      <c r="E166" s="902"/>
      <c r="F166" s="902"/>
      <c r="G166" s="902"/>
      <c r="H166" s="902"/>
      <c r="I166" s="903"/>
    </row>
    <row r="167" spans="1:9" s="460" customFormat="1" collapsed="1" x14ac:dyDescent="0.25">
      <c r="A167" s="299"/>
      <c r="B167" s="361"/>
      <c r="C167" s="361"/>
      <c r="D167" s="361"/>
      <c r="E167" s="502"/>
      <c r="F167" s="361"/>
      <c r="G167" s="502"/>
      <c r="H167" s="873"/>
      <c r="I167" s="362"/>
    </row>
    <row r="168" spans="1:9" s="460" customFormat="1" hidden="1" outlineLevel="1" x14ac:dyDescent="0.25">
      <c r="A168" s="299"/>
      <c r="B168" s="514"/>
      <c r="C168" s="514"/>
      <c r="D168" s="514"/>
      <c r="E168" s="512"/>
      <c r="F168" s="864"/>
      <c r="G168" s="512"/>
      <c r="H168" s="1057"/>
      <c r="I168" s="504"/>
    </row>
    <row r="169" spans="1:9" s="460" customFormat="1" hidden="1" outlineLevel="1" x14ac:dyDescent="0.25">
      <c r="A169" s="299"/>
      <c r="B169" s="897"/>
      <c r="C169" s="897"/>
      <c r="D169" s="897"/>
      <c r="E169" s="881"/>
      <c r="F169" s="896"/>
      <c r="G169" s="881"/>
      <c r="H169" s="1058"/>
      <c r="I169" s="883"/>
    </row>
    <row r="170" spans="1:9" s="460" customFormat="1" hidden="1" outlineLevel="1" collapsed="1" x14ac:dyDescent="0.25">
      <c r="A170" s="299"/>
      <c r="B170" s="902"/>
      <c r="C170" s="902"/>
      <c r="D170" s="902"/>
      <c r="E170" s="902"/>
      <c r="F170" s="902"/>
      <c r="G170" s="902"/>
      <c r="H170" s="902"/>
      <c r="I170" s="903"/>
    </row>
    <row r="171" spans="1:9" s="460" customFormat="1" collapsed="1" x14ac:dyDescent="0.25">
      <c r="A171" s="299"/>
      <c r="B171" s="361"/>
      <c r="C171" s="361"/>
      <c r="D171" s="361"/>
      <c r="E171" s="502"/>
      <c r="F171" s="361"/>
      <c r="G171" s="502"/>
      <c r="H171" s="873"/>
      <c r="I171" s="362"/>
    </row>
    <row r="172" spans="1:9" s="460" customFormat="1" hidden="1" outlineLevel="1" x14ac:dyDescent="0.25">
      <c r="A172" s="299"/>
      <c r="B172" s="514"/>
      <c r="C172" s="514"/>
      <c r="D172" s="514"/>
      <c r="E172" s="512"/>
      <c r="F172" s="864"/>
      <c r="G172" s="512"/>
      <c r="H172" s="1057"/>
      <c r="I172" s="504"/>
    </row>
    <row r="173" spans="1:9" s="460" customFormat="1" hidden="1" outlineLevel="1" x14ac:dyDescent="0.25">
      <c r="A173" s="299"/>
      <c r="B173" s="897"/>
      <c r="C173" s="897"/>
      <c r="D173" s="897"/>
      <c r="E173" s="881"/>
      <c r="F173" s="896"/>
      <c r="G173" s="881"/>
      <c r="H173" s="1058"/>
      <c r="I173" s="883"/>
    </row>
    <row r="174" spans="1:9" collapsed="1" x14ac:dyDescent="0.25">
      <c r="C174" s="460"/>
    </row>
    <row r="175" spans="1:9" x14ac:dyDescent="0.25">
      <c r="C175" s="460"/>
    </row>
    <row r="176" spans="1:9" x14ac:dyDescent="0.25">
      <c r="C176" s="460"/>
    </row>
    <row r="177" spans="3:3" x14ac:dyDescent="0.25">
      <c r="C177" s="460"/>
    </row>
    <row r="178" spans="3:3" x14ac:dyDescent="0.25">
      <c r="C178" s="460"/>
    </row>
  </sheetData>
  <phoneticPr fontId="8" type="noConversion"/>
  <hyperlinks>
    <hyperlink ref="C1" r:id="rId1" location="id=2533454" display="Zabraarallongex" xr:uid="{3242DFA7-F43B-49C0-84CA-ECDDB6301698}"/>
    <hyperlink ref="B1" r:id="rId2" location="id=2533415" xr:uid="{65D5E023-67A4-45EA-A620-D44CD509BCDC}"/>
    <hyperlink ref="H1" r:id="rId3" location="id=2535463" xr:uid="{D93ECBB9-96E0-40EB-8263-DCD94A824D65}"/>
    <hyperlink ref="G1" r:id="rId4" location="id=2538135" xr:uid="{05F38030-C1CE-403C-B40D-19E3794948FE}"/>
    <hyperlink ref="F1" r:id="rId5" location="id=2534175" xr:uid="{E623BBB4-B370-4243-B47C-FFBDB1F0E66E}"/>
    <hyperlink ref="E1" r:id="rId6" location="id=2027709" xr:uid="{EAC1EB35-6DCF-4DC0-8D9C-0C49E92E0925}"/>
    <hyperlink ref="F47" r:id="rId7" xr:uid="{462144E8-A4D3-43B2-BA42-D7741FE9B73B}"/>
    <hyperlink ref="B47" r:id="rId8" xr:uid="{91B827E6-4114-4D02-B72E-4E389E34E5C8}"/>
    <hyperlink ref="C47" r:id="rId9" xr:uid="{50570CB0-AFCB-49C6-8884-DC2F161E43E2}"/>
    <hyperlink ref="B55" r:id="rId10" display="N1 = Detect Magic" xr:uid="{B7FB7735-0044-4B85-9750-D9EAB5B43AAB}"/>
    <hyperlink ref="B59" r:id="rId11" display="N1 = Prestidigitation" xr:uid="{CE1D6E94-46A6-4207-BD28-49B5AF0F096D}"/>
    <hyperlink ref="B63" r:id="rId12" display="N1 = Produce Flame" xr:uid="{2EEE6203-0012-4CAC-9EB4-4369C877BCF5}"/>
    <hyperlink ref="B67" r:id="rId13" display="N1 = Protect Companion" xr:uid="{EF886AD4-7D79-4975-BD5E-7329D81113B3}"/>
    <hyperlink ref="B71" r:id="rId14" display="N1 = Tanglefoot" xr:uid="{7CD510C4-3582-4121-A5D1-44C8FAD54B05}"/>
    <hyperlink ref="C55" r:id="rId15" display="Enchant = Daze" xr:uid="{D68076D3-50B7-49DA-AF19-80B0FF8FC6F3}"/>
    <hyperlink ref="C99" r:id="rId16" display="Enchant = Charm" xr:uid="{9932E269-EDFB-4183-934F-ECB5445806D5}"/>
    <hyperlink ref="C59" r:id="rId17" display="N1 = Acid Splash" xr:uid="{83E8ADE0-7AD1-4316-B6E4-A6B9CCE5419D}"/>
    <hyperlink ref="C67" r:id="rId18" display="N1 = Produce Flame" xr:uid="{086EC956-5E67-43A1-BBA6-9B083E145FF8}"/>
    <hyperlink ref="C63" r:id="rId19" display="N1 = Electric Arc" xr:uid="{42F6346C-FA21-45C8-8243-44861CD8D77F}"/>
    <hyperlink ref="C71" r:id="rId20" display="N1 = Ray of Frost" xr:uid="{099730BD-09B3-4F07-AD2C-5F746271A188}"/>
    <hyperlink ref="C103" r:id="rId21" xr:uid="{7F8028BB-7052-48D0-A171-3B98220402F0}"/>
    <hyperlink ref="B107" r:id="rId22" xr:uid="{0732EBF1-9A71-4208-B73D-FE75E5917F91}"/>
    <hyperlink ref="C107" r:id="rId23" display="N1 = Mage Armor" xr:uid="{057EC749-9560-4A1B-8339-608662E99FC2}"/>
    <hyperlink ref="C111" r:id="rId24" xr:uid="{DC1C365A-AC81-4598-8810-9470C98499DC}"/>
    <hyperlink ref="B99" r:id="rId25" xr:uid="{18C94D21-55DF-440D-A07D-6258D3711A18}"/>
    <hyperlink ref="B103" r:id="rId26" xr:uid="{84FB521A-14ED-41D5-9971-269985F2658A}"/>
    <hyperlink ref="G38" r:id="rId27" display="Innate = Ray of Frost" xr:uid="{46A7B5E5-2D5E-4D26-9195-D9FB134F12D5}"/>
    <hyperlink ref="D47" r:id="rId28" xr:uid="{52CA2B99-D649-4270-BF6D-ECF2E4CCF305}"/>
    <hyperlink ref="D1" r:id="rId29" location="id=2544341" xr:uid="{B29BBF6C-A430-471A-8584-EE7EA3DBBD7A}"/>
    <hyperlink ref="D51" r:id="rId30" xr:uid="{4F96AC6C-8DC9-48B7-8DDB-C1B9394E6766}"/>
    <hyperlink ref="D55" r:id="rId31" display="Enchant = Daze" xr:uid="{4BDCC61C-89E6-451E-A73D-BC84F9A866BA}"/>
    <hyperlink ref="D71" r:id="rId32" display="N1 = Shield" xr:uid="{A01B0BF3-5A47-4CE8-9843-75FC93479F24}"/>
    <hyperlink ref="D67" r:id="rId33" xr:uid="{1115DADF-288B-4D1A-97FE-D55688BD1A6B}"/>
    <hyperlink ref="D75" r:id="rId34" xr:uid="{339DDF82-8C50-49A4-9A0B-C511C2296359}"/>
    <hyperlink ref="D59" r:id="rId35" xr:uid="{E39AF529-C913-4925-BD77-D418790C5D10}"/>
    <hyperlink ref="C95" r:id="rId36" xr:uid="{61A5992A-2C23-4D1B-9553-04CBA72C0B16}"/>
    <hyperlink ref="F111" r:id="rId37" display="Font = Heal (3/day)" xr:uid="{D137D4BD-FEF2-4C0E-B6A3-BCE59A202408}"/>
    <hyperlink ref="F107" r:id="rId38" xr:uid="{A0711A4C-2F36-4EE7-B3FE-C831475C5678}"/>
    <hyperlink ref="C83" r:id="rId39" xr:uid="{B9BE1979-81CD-4EFD-AF84-8D760A9D8762}"/>
    <hyperlink ref="C75" r:id="rId40" display="N1 = Shield" xr:uid="{227DA8F3-B771-488E-B7F6-7CB78BD00311}"/>
    <hyperlink ref="C79" r:id="rId41" xr:uid="{E108C895-80D9-4540-B27F-768828BF5462}"/>
    <hyperlink ref="C119" r:id="rId42" xr:uid="{FDEB306C-DD08-4001-8693-5710652F1F5F}"/>
    <hyperlink ref="C123" r:id="rId43" xr:uid="{3312D05C-27EF-439B-B37C-D75F00F8B6C2}"/>
    <hyperlink ref="C127" r:id="rId44" xr:uid="{2FAC2480-B7A6-46CD-81DA-2404343E7437}"/>
    <hyperlink ref="C115" r:id="rId45" xr:uid="{126CE088-1C59-4FA5-B732-75CC90B17168}"/>
    <hyperlink ref="C87" r:id="rId46" xr:uid="{F1A2F7BA-ACA6-4762-9C96-12FB36C2381A}"/>
    <hyperlink ref="C91" r:id="rId47" xr:uid="{2052224E-FD72-432B-A7F4-36049EA58075}"/>
    <hyperlink ref="B111" r:id="rId48" xr:uid="{B7E2EBE4-F0E7-446F-A8E7-DCF02904745F}"/>
    <hyperlink ref="C131" r:id="rId49" xr:uid="{DC24761F-1696-4F33-8130-5A1B154AB77C}"/>
    <hyperlink ref="F59" r:id="rId50" xr:uid="{E785C601-C217-46DD-B190-ADE511D45F6E}"/>
    <hyperlink ref="F63" r:id="rId51" xr:uid="{AE39818B-B848-45D3-8331-A58742E7E7DE}"/>
    <hyperlink ref="F67" r:id="rId52" xr:uid="{FCC57DDC-0744-411C-A34D-8FC5EA993708}"/>
    <hyperlink ref="F75" r:id="rId53" xr:uid="{99D6710F-8A3E-49CF-BE80-4D54CFC7BD70}"/>
    <hyperlink ref="F71" r:id="rId54" xr:uid="{C354EEBB-52A8-4397-9AB5-40A065EC77D6}"/>
    <hyperlink ref="F83" r:id="rId55" xr:uid="{9A822D94-3F2E-4475-BBD1-E9377820C8D9}"/>
    <hyperlink ref="F79" r:id="rId56" display="N1 = Shield" xr:uid="{F1B34BEE-A2BD-443A-8725-DFCF0FA515AA}"/>
    <hyperlink ref="F55" r:id="rId57" display="Enchant = Daze" xr:uid="{037A7EBF-F9A6-40C6-A115-4F4EEE9E9251}"/>
    <hyperlink ref="F99" r:id="rId58" xr:uid="{85AA5048-0C7F-4623-8EAD-EB25F634F4FA}"/>
    <hyperlink ref="F103" r:id="rId59" xr:uid="{7976D815-0597-4B7F-BC20-57E1635CD15D}"/>
    <hyperlink ref="F119" r:id="rId60" xr:uid="{3F7C047F-CC4C-4553-8C67-C5AE170B6C1C}"/>
    <hyperlink ref="F115" r:id="rId61" xr:uid="{925FFC32-EC67-40C3-BA1A-C4D1F48F4261}"/>
    <hyperlink ref="I1" r:id="rId62" location="id=2561941" xr:uid="{0AEA0A85-7EC2-4890-A3F6-6AEA98A3BFE0}"/>
    <hyperlink ref="B3" r:id="rId63" xr:uid="{66A59DA3-2CF5-4571-87DB-A14BC1CB6AAF}"/>
    <hyperlink ref="C3" r:id="rId64" xr:uid="{100A3857-0970-4BA2-BC6C-08175568FB50}"/>
    <hyperlink ref="D3" r:id="rId65" xr:uid="{09AB454E-385B-47B3-9C5B-A726F884EAC5}"/>
    <hyperlink ref="F3" r:id="rId66" xr:uid="{184EC5B9-C97B-480E-B3F3-B6F8F6763301}"/>
    <hyperlink ref="B115" r:id="rId67" display="Arcane" xr:uid="{C647BE75-7691-49F7-9C55-63A550B6C944}"/>
    <hyperlink ref="F123" r:id="rId68" xr:uid="{FF7F2AD0-B2F2-4C6C-9559-8CA4E9CFFE00}"/>
    <hyperlink ref="D107" r:id="rId69" xr:uid="{D10BA896-6CA1-43D7-8633-7C54387982AE}"/>
    <hyperlink ref="D103" r:id="rId70" xr:uid="{7C0A83FB-C2FB-4DE8-B3C5-9860673F0314}"/>
    <hyperlink ref="D111" r:id="rId71" xr:uid="{2CE198BB-385A-4AD9-9AFB-2AFA32F50DC0}"/>
    <hyperlink ref="D99" r:id="rId72" xr:uid="{27C1251F-120D-43F1-8EB5-5D04481E8B91}"/>
    <hyperlink ref="C135" r:id="rId73" xr:uid="{49E130D2-DD8F-4804-AEA7-15E1513D5D14}"/>
    <hyperlink ref="C139" r:id="rId74" xr:uid="{3E32A404-2CBF-4B9F-8324-BFE1B75C2018}"/>
    <hyperlink ref="C143" r:id="rId75" xr:uid="{074621C3-A377-47C9-BF88-9CC0892C7808}"/>
    <hyperlink ref="C147" r:id="rId76" xr:uid="{BD119D1D-DA3D-4DEF-9BA9-EEC0F00404C2}"/>
    <hyperlink ref="B123" r:id="rId77" xr:uid="{D85AA492-D6AE-45D9-BE3D-57BBAD872A11}"/>
    <hyperlink ref="B127" r:id="rId78" xr:uid="{3BC52E32-9693-4191-873B-EBA3481E7694}"/>
    <hyperlink ref="C155" r:id="rId79" xr:uid="{69C7081A-FDE9-4D89-BF84-3F3C5366054E}"/>
    <hyperlink ref="C151" r:id="rId80" xr:uid="{E93490F3-F925-4C95-A962-B4B9001CD172}"/>
    <hyperlink ref="D139" r:id="rId81" xr:uid="{FED0E95F-A580-4D2B-93C4-21319E8BEFA9}"/>
    <hyperlink ref="D115" r:id="rId82" xr:uid="{C72DD2F3-9324-4953-BF7D-B99DEB66C7D7}"/>
    <hyperlink ref="D119" r:id="rId83" xr:uid="{DA3D67B3-8AF4-4E16-B5BC-B7330737427A}"/>
    <hyperlink ref="D123" r:id="rId84" xr:uid="{F69E3CD5-E81B-41C0-8399-68B48A2264B6}"/>
    <hyperlink ref="D127" r:id="rId85" xr:uid="{EE948E40-2B68-481B-A826-7BEBA50BEDDB}"/>
    <hyperlink ref="D135" r:id="rId86" xr:uid="{51392BFD-4D7F-4178-BE73-D6834D9F62DC}"/>
    <hyperlink ref="D131" r:id="rId87" xr:uid="{0EFD558B-8BF3-4CC7-9EEC-BAFC56EBE22C}"/>
    <hyperlink ref="D143" r:id="rId88" xr:uid="{3B6D49CC-85E1-4332-9985-76D0DBD76726}"/>
    <hyperlink ref="K119" r:id="rId89" xr:uid="{32BA7564-F10A-4D6B-A655-5FAFD0FF832F}"/>
    <hyperlink ref="K123" r:id="rId90" xr:uid="{4A0DF3BA-754C-41F6-9283-ECDB3312DF29}"/>
    <hyperlink ref="F131" r:id="rId91" xr:uid="{F3E3FDE2-516C-430C-8B94-AB4E7D418658}"/>
    <hyperlink ref="F127" r:id="rId92" xr:uid="{F4638B9F-07AD-4576-BD26-018023B9EC04}"/>
  </hyperlinks>
  <pageMargins left="0.7" right="0.7" top="0.75" bottom="0.75" header="0.3" footer="0.3"/>
  <pageSetup paperSize="9" orientation="portrait" horizontalDpi="360" verticalDpi="360" r:id="rId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8313-EBC8-40D5-9021-7C6D63E8B4ED}">
  <dimension ref="A1:M533"/>
  <sheetViews>
    <sheetView showGridLines="0" workbookViewId="0">
      <pane xSplit="1" ySplit="1" topLeftCell="B277" activePane="bottomRight" state="frozen"/>
      <selection activeCell="H534" sqref="H534"/>
      <selection pane="topRight" activeCell="H534" sqref="H534"/>
      <selection pane="bottomLeft" activeCell="H534" sqref="H534"/>
      <selection pane="bottomRight" activeCell="D501" sqref="D501"/>
    </sheetView>
  </sheetViews>
  <sheetFormatPr baseColWidth="10" defaultColWidth="11.42578125" defaultRowHeight="15" outlineLevelRow="1" outlineLevelCol="1" x14ac:dyDescent="0.25"/>
  <cols>
    <col min="1" max="1" width="21" style="6" customWidth="1"/>
    <col min="2" max="3" width="27.5703125" style="6" customWidth="1"/>
    <col min="4" max="4" width="27.5703125" style="460" customWidth="1"/>
    <col min="5" max="8" width="27.5703125" style="6" customWidth="1"/>
    <col min="9" max="9" width="27.5703125" style="460" customWidth="1"/>
    <col min="10" max="11" width="11.42578125" style="6"/>
    <col min="12" max="12" width="0" style="6" hidden="1" customWidth="1" outlineLevel="1"/>
    <col min="13" max="13" width="11.42578125" style="6" collapsed="1"/>
    <col min="14" max="16384" width="11.42578125" style="6"/>
  </cols>
  <sheetData>
    <row r="1" spans="1:9" s="271" customFormat="1" x14ac:dyDescent="0.25">
      <c r="A1" s="1125" t="s">
        <v>157</v>
      </c>
      <c r="B1" s="851" t="s">
        <v>154</v>
      </c>
      <c r="C1" s="851" t="s">
        <v>1025</v>
      </c>
      <c r="D1" s="852" t="s">
        <v>659</v>
      </c>
      <c r="E1" s="853" t="s">
        <v>266</v>
      </c>
      <c r="F1" s="853" t="s">
        <v>155</v>
      </c>
      <c r="G1" s="853" t="s">
        <v>204</v>
      </c>
      <c r="H1" s="851" t="s">
        <v>156</v>
      </c>
      <c r="I1" s="1144" t="s">
        <v>840</v>
      </c>
    </row>
    <row r="2" spans="1:9" ht="15.75" thickBot="1" x14ac:dyDescent="0.3">
      <c r="A2" s="296" t="s">
        <v>300</v>
      </c>
      <c r="B2" s="278" t="s">
        <v>283</v>
      </c>
      <c r="C2" s="278" t="s">
        <v>284</v>
      </c>
      <c r="D2" s="278" t="s">
        <v>671</v>
      </c>
      <c r="E2" s="281" t="s">
        <v>281</v>
      </c>
      <c r="F2" s="1123" t="s">
        <v>282</v>
      </c>
      <c r="G2" s="1123" t="s">
        <v>280</v>
      </c>
      <c r="H2" s="278" t="s">
        <v>285</v>
      </c>
      <c r="I2" s="1124" t="s">
        <v>280</v>
      </c>
    </row>
    <row r="3" spans="1:9" x14ac:dyDescent="0.25">
      <c r="A3" s="350" t="s">
        <v>434</v>
      </c>
      <c r="B3" s="355"/>
      <c r="C3" s="356"/>
      <c r="D3" s="356"/>
      <c r="E3" s="357"/>
      <c r="F3" s="356"/>
      <c r="G3" s="356"/>
      <c r="H3" s="1063"/>
      <c r="I3" s="358"/>
    </row>
    <row r="4" spans="1:9" x14ac:dyDescent="0.25">
      <c r="A4" s="345" t="s">
        <v>435</v>
      </c>
      <c r="B4" s="398">
        <v>26</v>
      </c>
      <c r="C4" s="395">
        <v>23</v>
      </c>
      <c r="D4" s="395">
        <v>20</v>
      </c>
      <c r="E4" s="360">
        <v>8</v>
      </c>
      <c r="F4" s="359">
        <v>8</v>
      </c>
      <c r="G4" s="359">
        <v>12</v>
      </c>
      <c r="H4" s="1064">
        <v>17</v>
      </c>
      <c r="I4" s="401">
        <v>9</v>
      </c>
    </row>
    <row r="5" spans="1:9" x14ac:dyDescent="0.25">
      <c r="A5" s="345" t="s">
        <v>436</v>
      </c>
      <c r="B5" s="398">
        <v>78</v>
      </c>
      <c r="C5" s="395">
        <v>86</v>
      </c>
      <c r="D5" s="395">
        <v>77</v>
      </c>
      <c r="E5" s="360">
        <v>76</v>
      </c>
      <c r="F5" s="359">
        <v>90</v>
      </c>
      <c r="G5" s="359">
        <v>74</v>
      </c>
      <c r="H5" s="1064">
        <v>77</v>
      </c>
      <c r="I5" s="401">
        <v>77</v>
      </c>
    </row>
    <row r="6" spans="1:9" ht="15.75" thickBot="1" x14ac:dyDescent="0.3">
      <c r="A6" s="283" t="s">
        <v>477</v>
      </c>
      <c r="B6" s="399">
        <v>1</v>
      </c>
      <c r="C6" s="396">
        <v>1</v>
      </c>
      <c r="D6" s="396">
        <v>2</v>
      </c>
      <c r="E6" s="353">
        <v>1</v>
      </c>
      <c r="F6" s="352">
        <v>6</v>
      </c>
      <c r="G6" s="352">
        <v>1</v>
      </c>
      <c r="H6" s="1065">
        <v>1</v>
      </c>
      <c r="I6" s="402"/>
    </row>
    <row r="7" spans="1:9" hidden="1" outlineLevel="1" collapsed="1" x14ac:dyDescent="0.25">
      <c r="A7" s="300" t="s">
        <v>299</v>
      </c>
      <c r="B7" s="286" t="s">
        <v>302</v>
      </c>
      <c r="C7" s="275" t="s">
        <v>302</v>
      </c>
      <c r="D7" s="275" t="s">
        <v>302</v>
      </c>
      <c r="E7" s="275" t="s">
        <v>302</v>
      </c>
      <c r="F7" s="275" t="s">
        <v>302</v>
      </c>
      <c r="G7" s="275" t="s">
        <v>302</v>
      </c>
      <c r="H7" s="1066" t="s">
        <v>302</v>
      </c>
      <c r="I7" s="276" t="s">
        <v>302</v>
      </c>
    </row>
    <row r="8" spans="1:9" hidden="1" outlineLevel="1" x14ac:dyDescent="0.25">
      <c r="A8" s="299"/>
      <c r="B8" s="287" t="s">
        <v>303</v>
      </c>
      <c r="C8" s="272" t="s">
        <v>303</v>
      </c>
      <c r="D8" s="272" t="s">
        <v>303</v>
      </c>
      <c r="E8" s="272" t="s">
        <v>303</v>
      </c>
      <c r="F8" s="272" t="s">
        <v>303</v>
      </c>
      <c r="G8" s="272" t="s">
        <v>303</v>
      </c>
      <c r="H8" s="1067" t="s">
        <v>303</v>
      </c>
      <c r="I8" s="277" t="s">
        <v>303</v>
      </c>
    </row>
    <row r="9" spans="1:9" hidden="1" outlineLevel="1" x14ac:dyDescent="0.25">
      <c r="A9" s="299"/>
      <c r="B9" s="287" t="s">
        <v>479</v>
      </c>
      <c r="C9" s="272" t="s">
        <v>479</v>
      </c>
      <c r="D9" s="272" t="s">
        <v>479</v>
      </c>
      <c r="E9" s="272" t="s">
        <v>479</v>
      </c>
      <c r="F9" s="272" t="s">
        <v>479</v>
      </c>
      <c r="G9" s="272" t="s">
        <v>479</v>
      </c>
      <c r="H9" s="1067" t="s">
        <v>479</v>
      </c>
      <c r="I9" s="277" t="s">
        <v>479</v>
      </c>
    </row>
    <row r="10" spans="1:9" hidden="1" outlineLevel="1" x14ac:dyDescent="0.25">
      <c r="A10" s="299"/>
      <c r="B10" s="287" t="s">
        <v>304</v>
      </c>
      <c r="C10" s="272" t="s">
        <v>304</v>
      </c>
      <c r="D10" s="272" t="s">
        <v>304</v>
      </c>
      <c r="E10" s="272" t="s">
        <v>304</v>
      </c>
      <c r="F10" s="272" t="s">
        <v>304</v>
      </c>
      <c r="G10" s="272" t="s">
        <v>304</v>
      </c>
      <c r="H10" s="1067" t="s">
        <v>304</v>
      </c>
      <c r="I10" s="277" t="s">
        <v>304</v>
      </c>
    </row>
    <row r="11" spans="1:9" hidden="1" outlineLevel="1" x14ac:dyDescent="0.25">
      <c r="A11" s="299"/>
      <c r="B11" s="419" t="s">
        <v>480</v>
      </c>
      <c r="C11" s="420" t="s">
        <v>480</v>
      </c>
      <c r="D11" s="420" t="s">
        <v>480</v>
      </c>
      <c r="E11" s="420" t="s">
        <v>480</v>
      </c>
      <c r="F11" s="420" t="s">
        <v>480</v>
      </c>
      <c r="G11" s="420" t="s">
        <v>480</v>
      </c>
      <c r="H11" s="1068" t="s">
        <v>480</v>
      </c>
      <c r="I11" s="421" t="s">
        <v>480</v>
      </c>
    </row>
    <row r="12" spans="1:9" hidden="1" outlineLevel="1" x14ac:dyDescent="0.25">
      <c r="A12" s="299"/>
      <c r="B12" s="287" t="s">
        <v>305</v>
      </c>
      <c r="C12" s="272" t="s">
        <v>305</v>
      </c>
      <c r="D12" s="272" t="s">
        <v>305</v>
      </c>
      <c r="E12" s="272" t="s">
        <v>305</v>
      </c>
      <c r="F12" s="272" t="s">
        <v>305</v>
      </c>
      <c r="G12" s="272" t="s">
        <v>305</v>
      </c>
      <c r="H12" s="1067" t="s">
        <v>305</v>
      </c>
      <c r="I12" s="277" t="s">
        <v>305</v>
      </c>
    </row>
    <row r="13" spans="1:9" hidden="1" outlineLevel="1" x14ac:dyDescent="0.25">
      <c r="A13" s="299"/>
      <c r="B13" s="287" t="s">
        <v>306</v>
      </c>
      <c r="C13" s="272" t="s">
        <v>306</v>
      </c>
      <c r="D13" s="272" t="s">
        <v>306</v>
      </c>
      <c r="E13" s="272" t="s">
        <v>306</v>
      </c>
      <c r="F13" s="272" t="s">
        <v>306</v>
      </c>
      <c r="G13" s="272" t="s">
        <v>306</v>
      </c>
      <c r="H13" s="1067" t="s">
        <v>306</v>
      </c>
      <c r="I13" s="277" t="s">
        <v>306</v>
      </c>
    </row>
    <row r="14" spans="1:9" hidden="1" outlineLevel="1" x14ac:dyDescent="0.25">
      <c r="A14" s="299"/>
      <c r="B14" s="419" t="s">
        <v>485</v>
      </c>
      <c r="C14" s="420" t="s">
        <v>485</v>
      </c>
      <c r="D14" s="420" t="s">
        <v>485</v>
      </c>
      <c r="E14" s="420" t="s">
        <v>485</v>
      </c>
      <c r="F14" s="420" t="s">
        <v>485</v>
      </c>
      <c r="G14" s="420" t="s">
        <v>485</v>
      </c>
      <c r="H14" s="1068" t="s">
        <v>485</v>
      </c>
      <c r="I14" s="421" t="s">
        <v>485</v>
      </c>
    </row>
    <row r="15" spans="1:9" ht="15.75" hidden="1" outlineLevel="1" thickBot="1" x14ac:dyDescent="0.3">
      <c r="A15" s="499"/>
      <c r="B15" s="285" t="s">
        <v>307</v>
      </c>
      <c r="C15" s="278" t="s">
        <v>307</v>
      </c>
      <c r="D15" s="278" t="s">
        <v>307</v>
      </c>
      <c r="E15" s="278" t="s">
        <v>307</v>
      </c>
      <c r="F15" s="278" t="s">
        <v>307</v>
      </c>
      <c r="G15" s="278" t="s">
        <v>307</v>
      </c>
      <c r="H15" s="1069" t="s">
        <v>307</v>
      </c>
      <c r="I15" s="279" t="s">
        <v>307</v>
      </c>
    </row>
    <row r="16" spans="1:9" collapsed="1" x14ac:dyDescent="0.25">
      <c r="A16" s="300" t="s">
        <v>279</v>
      </c>
      <c r="B16" s="284" t="s">
        <v>308</v>
      </c>
      <c r="C16" s="1249" t="s">
        <v>958</v>
      </c>
      <c r="D16" s="428" t="s">
        <v>317</v>
      </c>
      <c r="E16" s="434" t="s">
        <v>314</v>
      </c>
      <c r="F16" s="428" t="s">
        <v>317</v>
      </c>
      <c r="G16" s="1254" t="s">
        <v>972</v>
      </c>
      <c r="H16" s="1506" t="s">
        <v>1085</v>
      </c>
      <c r="I16" s="1260" t="s">
        <v>972</v>
      </c>
    </row>
    <row r="17" spans="1:9" x14ac:dyDescent="0.25">
      <c r="A17" s="299" t="s">
        <v>330</v>
      </c>
      <c r="B17" s="1520" t="s">
        <v>959</v>
      </c>
      <c r="C17" s="420" t="s">
        <v>484</v>
      </c>
      <c r="D17" s="274" t="s">
        <v>318</v>
      </c>
      <c r="E17" s="274" t="s">
        <v>315</v>
      </c>
      <c r="F17" s="849" t="s">
        <v>320</v>
      </c>
      <c r="G17" s="272" t="s">
        <v>705</v>
      </c>
      <c r="H17" s="1067" t="s">
        <v>654</v>
      </c>
      <c r="I17" s="1132" t="s">
        <v>321</v>
      </c>
    </row>
    <row r="18" spans="1:9" x14ac:dyDescent="0.25">
      <c r="A18" s="299"/>
      <c r="B18" s="287" t="s">
        <v>817</v>
      </c>
      <c r="C18" s="272" t="s">
        <v>483</v>
      </c>
      <c r="D18" s="272" t="s">
        <v>684</v>
      </c>
      <c r="E18" s="272" t="s">
        <v>965</v>
      </c>
      <c r="F18" s="272" t="s">
        <v>797</v>
      </c>
      <c r="G18" s="1253" t="s">
        <v>971</v>
      </c>
      <c r="H18" s="1070" t="s">
        <v>736</v>
      </c>
      <c r="I18" s="277" t="s">
        <v>310</v>
      </c>
    </row>
    <row r="19" spans="1:9" ht="15.75" thickBot="1" x14ac:dyDescent="0.3">
      <c r="A19" s="299"/>
      <c r="B19" s="285" t="s">
        <v>742</v>
      </c>
      <c r="C19" s="278" t="s">
        <v>312</v>
      </c>
      <c r="D19" s="278" t="s">
        <v>683</v>
      </c>
      <c r="E19" s="950" t="s">
        <v>733</v>
      </c>
      <c r="F19" s="278" t="s">
        <v>486</v>
      </c>
      <c r="G19" s="1507" t="s">
        <v>959</v>
      </c>
      <c r="H19" s="1071" t="s">
        <v>481</v>
      </c>
      <c r="I19" s="279" t="s">
        <v>322</v>
      </c>
    </row>
    <row r="20" spans="1:9" s="460" customFormat="1" x14ac:dyDescent="0.25">
      <c r="A20" s="300"/>
      <c r="B20" s="286" t="s">
        <v>871</v>
      </c>
      <c r="C20" s="275" t="s">
        <v>311</v>
      </c>
      <c r="D20" s="1263" t="s">
        <v>1086</v>
      </c>
      <c r="E20" s="282" t="s">
        <v>316</v>
      </c>
      <c r="F20" s="275" t="s">
        <v>319</v>
      </c>
      <c r="G20" s="275" t="s">
        <v>323</v>
      </c>
      <c r="H20" s="1264" t="s">
        <v>739</v>
      </c>
      <c r="I20" s="1133" t="s">
        <v>853</v>
      </c>
    </row>
    <row r="21" spans="1:9" s="460" customFormat="1" x14ac:dyDescent="0.25">
      <c r="A21" s="299"/>
      <c r="B21" s="287" t="s">
        <v>952</v>
      </c>
      <c r="C21" s="848" t="s">
        <v>732</v>
      </c>
      <c r="D21" s="272" t="s">
        <v>685</v>
      </c>
      <c r="E21" s="848" t="s">
        <v>818</v>
      </c>
      <c r="F21" s="848" t="s">
        <v>309</v>
      </c>
      <c r="G21" s="272" t="s">
        <v>322</v>
      </c>
      <c r="H21" s="1072" t="s">
        <v>482</v>
      </c>
      <c r="I21" s="277" t="s">
        <v>323</v>
      </c>
    </row>
    <row r="22" spans="1:9" s="415" customFormat="1" x14ac:dyDescent="0.25">
      <c r="A22" s="299"/>
      <c r="B22" s="932" t="s">
        <v>1065</v>
      </c>
      <c r="C22" s="272" t="s">
        <v>751</v>
      </c>
      <c r="D22" s="272" t="s">
        <v>750</v>
      </c>
      <c r="E22" s="848" t="s">
        <v>829</v>
      </c>
      <c r="F22" s="272" t="s">
        <v>656</v>
      </c>
      <c r="G22" s="272" t="s">
        <v>741</v>
      </c>
      <c r="H22" s="1505" t="s">
        <v>1084</v>
      </c>
      <c r="I22" s="277" t="s">
        <v>317</v>
      </c>
    </row>
    <row r="23" spans="1:9" s="460" customFormat="1" x14ac:dyDescent="0.25">
      <c r="A23" s="299"/>
      <c r="B23" s="932" t="s">
        <v>1066</v>
      </c>
      <c r="C23" s="272" t="s">
        <v>322</v>
      </c>
      <c r="D23" s="272" t="s">
        <v>746</v>
      </c>
      <c r="E23" s="848" t="s">
        <v>962</v>
      </c>
      <c r="F23" s="272" t="s">
        <v>657</v>
      </c>
      <c r="G23" s="1073" t="s">
        <v>866</v>
      </c>
      <c r="H23" s="1067" t="s">
        <v>643</v>
      </c>
      <c r="I23" s="277" t="s">
        <v>978</v>
      </c>
    </row>
    <row r="24" spans="1:9" x14ac:dyDescent="0.25">
      <c r="A24" s="299"/>
      <c r="B24" s="287" t="s">
        <v>1072</v>
      </c>
      <c r="C24" s="272" t="s">
        <v>870</v>
      </c>
      <c r="D24" s="272" t="s">
        <v>867</v>
      </c>
      <c r="E24" s="1250" t="s">
        <v>963</v>
      </c>
      <c r="F24" s="272" t="s">
        <v>745</v>
      </c>
      <c r="G24" s="1255" t="s">
        <v>321</v>
      </c>
      <c r="H24" s="1073" t="s">
        <v>818</v>
      </c>
      <c r="I24" s="277" t="s">
        <v>953</v>
      </c>
    </row>
    <row r="25" spans="1:9" x14ac:dyDescent="0.25">
      <c r="A25" s="299"/>
      <c r="B25" s="848" t="s">
        <v>1076</v>
      </c>
      <c r="C25" s="272" t="s">
        <v>953</v>
      </c>
      <c r="D25" s="272" t="s">
        <v>868</v>
      </c>
      <c r="E25" s="1250" t="s">
        <v>964</v>
      </c>
      <c r="F25" s="933" t="s">
        <v>796</v>
      </c>
      <c r="G25" s="1067" t="s">
        <v>953</v>
      </c>
      <c r="H25" s="1067" t="s">
        <v>740</v>
      </c>
      <c r="I25" s="940" t="s">
        <v>1065</v>
      </c>
    </row>
    <row r="26" spans="1:9" x14ac:dyDescent="0.25">
      <c r="A26" s="299"/>
      <c r="B26" s="848" t="s">
        <v>1075</v>
      </c>
      <c r="C26" s="272" t="s">
        <v>954</v>
      </c>
      <c r="D26" s="933" t="s">
        <v>1065</v>
      </c>
      <c r="E26" s="933" t="s">
        <v>1065</v>
      </c>
      <c r="F26" s="939" t="s">
        <v>1082</v>
      </c>
      <c r="G26" s="933" t="s">
        <v>1065</v>
      </c>
      <c r="H26" s="1067" t="s">
        <v>961</v>
      </c>
      <c r="I26" s="848" t="s">
        <v>1075</v>
      </c>
    </row>
    <row r="27" spans="1:9" x14ac:dyDescent="0.25">
      <c r="A27" s="299"/>
      <c r="B27" s="287"/>
      <c r="C27" s="272" t="s">
        <v>955</v>
      </c>
      <c r="D27" s="848" t="s">
        <v>1076</v>
      </c>
      <c r="E27" s="848" t="s">
        <v>1076</v>
      </c>
      <c r="F27" s="272" t="s">
        <v>869</v>
      </c>
      <c r="G27" s="933" t="s">
        <v>1077</v>
      </c>
      <c r="H27" s="1067" t="s">
        <v>743</v>
      </c>
      <c r="I27" s="277"/>
    </row>
    <row r="28" spans="1:9" s="460" customFormat="1" x14ac:dyDescent="0.25">
      <c r="A28" s="299"/>
      <c r="B28" s="287"/>
      <c r="C28" s="272" t="s">
        <v>956</v>
      </c>
      <c r="D28" s="848" t="s">
        <v>1075</v>
      </c>
      <c r="E28" s="848" t="s">
        <v>1075</v>
      </c>
      <c r="F28" s="933" t="s">
        <v>1065</v>
      </c>
      <c r="G28" s="848" t="s">
        <v>1075</v>
      </c>
      <c r="H28" s="1067" t="s">
        <v>744</v>
      </c>
      <c r="I28" s="277"/>
    </row>
    <row r="29" spans="1:9" s="460" customFormat="1" x14ac:dyDescent="0.25">
      <c r="A29" s="299"/>
      <c r="B29" s="287"/>
      <c r="C29" s="1233" t="s">
        <v>957</v>
      </c>
      <c r="D29" s="287" t="s">
        <v>1069</v>
      </c>
      <c r="E29" s="273"/>
      <c r="F29" s="848" t="s">
        <v>1076</v>
      </c>
      <c r="G29" s="272"/>
      <c r="H29" s="272" t="s">
        <v>1073</v>
      </c>
      <c r="I29" s="277"/>
    </row>
    <row r="30" spans="1:9" s="460" customFormat="1" x14ac:dyDescent="0.25">
      <c r="A30" s="299"/>
      <c r="B30" s="287"/>
      <c r="C30" s="274" t="s">
        <v>313</v>
      </c>
      <c r="D30" s="287"/>
      <c r="E30" s="273"/>
      <c r="F30" s="848" t="s">
        <v>1075</v>
      </c>
      <c r="G30" s="272"/>
      <c r="H30" s="1067" t="s">
        <v>975</v>
      </c>
      <c r="I30" s="277"/>
    </row>
    <row r="31" spans="1:9" s="460" customFormat="1" x14ac:dyDescent="0.25">
      <c r="A31" s="299"/>
      <c r="B31" s="287"/>
      <c r="C31" s="933" t="s">
        <v>1065</v>
      </c>
      <c r="D31" s="287"/>
      <c r="E31" s="273"/>
      <c r="F31" s="272" t="s">
        <v>1080</v>
      </c>
      <c r="G31" s="272"/>
      <c r="H31" s="1067" t="s">
        <v>976</v>
      </c>
      <c r="I31" s="277"/>
    </row>
    <row r="32" spans="1:9" s="460" customFormat="1" ht="15.75" thickBot="1" x14ac:dyDescent="0.3">
      <c r="A32" s="499"/>
      <c r="B32" s="285"/>
      <c r="C32" s="942" t="s">
        <v>1066</v>
      </c>
      <c r="D32" s="278"/>
      <c r="E32" s="281"/>
      <c r="F32" s="1507" t="s">
        <v>1063</v>
      </c>
      <c r="G32" s="278"/>
      <c r="H32" s="1069" t="s">
        <v>953</v>
      </c>
      <c r="I32" s="279"/>
    </row>
    <row r="33" spans="1:9" s="460" customFormat="1" x14ac:dyDescent="0.25">
      <c r="A33" s="300"/>
      <c r="B33" s="286"/>
      <c r="C33" s="275" t="s">
        <v>1076</v>
      </c>
      <c r="D33" s="275"/>
      <c r="E33" s="1508"/>
      <c r="F33" s="1514" t="s">
        <v>791</v>
      </c>
      <c r="G33" s="1511"/>
      <c r="H33" s="1257" t="s">
        <v>977</v>
      </c>
      <c r="I33" s="276"/>
    </row>
    <row r="34" spans="1:9" s="460" customFormat="1" x14ac:dyDescent="0.25">
      <c r="A34" s="299"/>
      <c r="B34" s="287"/>
      <c r="C34" s="848" t="s">
        <v>1075</v>
      </c>
      <c r="D34" s="272"/>
      <c r="E34" s="1509"/>
      <c r="F34" s="1515"/>
      <c r="G34" s="1512"/>
      <c r="H34" s="933" t="s">
        <v>1065</v>
      </c>
      <c r="I34" s="277"/>
    </row>
    <row r="35" spans="1:9" s="460" customFormat="1" x14ac:dyDescent="0.25">
      <c r="A35" s="299"/>
      <c r="B35" s="287"/>
      <c r="C35" s="848" t="s">
        <v>309</v>
      </c>
      <c r="D35" s="272"/>
      <c r="E35" s="1509"/>
      <c r="F35" s="1515"/>
      <c r="G35" s="1512"/>
      <c r="H35" s="1067" t="s">
        <v>1068</v>
      </c>
      <c r="I35" s="277"/>
    </row>
    <row r="36" spans="1:9" s="460" customFormat="1" x14ac:dyDescent="0.25">
      <c r="A36" s="299"/>
      <c r="B36" s="287"/>
      <c r="C36" s="272" t="s">
        <v>1080</v>
      </c>
      <c r="D36" s="272"/>
      <c r="E36" s="1509"/>
      <c r="F36" s="1515"/>
      <c r="G36" s="1512"/>
      <c r="H36" s="933" t="s">
        <v>1067</v>
      </c>
      <c r="I36" s="277"/>
    </row>
    <row r="37" spans="1:9" s="460" customFormat="1" x14ac:dyDescent="0.25">
      <c r="A37" s="299"/>
      <c r="B37" s="287"/>
      <c r="C37" s="272"/>
      <c r="D37" s="272"/>
      <c r="E37" s="1509"/>
      <c r="F37" s="1515"/>
      <c r="G37" s="1512"/>
      <c r="H37" s="848" t="s">
        <v>1083</v>
      </c>
      <c r="I37" s="277"/>
    </row>
    <row r="38" spans="1:9" s="460" customFormat="1" x14ac:dyDescent="0.25">
      <c r="A38" s="299"/>
      <c r="B38" s="287"/>
      <c r="C38" s="272"/>
      <c r="D38" s="272"/>
      <c r="E38" s="1509"/>
      <c r="F38" s="1515"/>
      <c r="G38" s="1512"/>
      <c r="H38" s="848" t="s">
        <v>1078</v>
      </c>
      <c r="I38" s="277"/>
    </row>
    <row r="39" spans="1:9" s="460" customFormat="1" x14ac:dyDescent="0.25">
      <c r="A39" s="299"/>
      <c r="B39" s="287"/>
      <c r="C39" s="272"/>
      <c r="D39" s="272"/>
      <c r="E39" s="1509"/>
      <c r="F39" s="1515"/>
      <c r="G39" s="1512"/>
      <c r="H39" s="848" t="s">
        <v>1079</v>
      </c>
      <c r="I39" s="277"/>
    </row>
    <row r="40" spans="1:9" s="460" customFormat="1" x14ac:dyDescent="0.25">
      <c r="A40" s="299"/>
      <c r="B40" s="287"/>
      <c r="C40" s="272"/>
      <c r="D40" s="272"/>
      <c r="E40" s="1509"/>
      <c r="F40" s="1515"/>
      <c r="G40" s="1512"/>
      <c r="H40" s="939" t="s">
        <v>1081</v>
      </c>
      <c r="I40" s="277"/>
    </row>
    <row r="41" spans="1:9" s="460" customFormat="1" x14ac:dyDescent="0.25">
      <c r="A41" s="299"/>
      <c r="B41" s="287"/>
      <c r="C41" s="272"/>
      <c r="D41" s="272"/>
      <c r="E41" s="1509"/>
      <c r="F41" s="1515"/>
      <c r="G41" s="1512"/>
      <c r="H41" s="848" t="s">
        <v>1076</v>
      </c>
      <c r="I41" s="277"/>
    </row>
    <row r="42" spans="1:9" s="460" customFormat="1" x14ac:dyDescent="0.25">
      <c r="A42" s="299"/>
      <c r="B42" s="287"/>
      <c r="C42" s="272"/>
      <c r="D42" s="272"/>
      <c r="E42" s="1509"/>
      <c r="F42" s="1515"/>
      <c r="G42" s="1512"/>
      <c r="H42" s="848" t="s">
        <v>1075</v>
      </c>
      <c r="I42" s="277"/>
    </row>
    <row r="43" spans="1:9" s="460" customFormat="1" hidden="1" outlineLevel="1" x14ac:dyDescent="0.25">
      <c r="A43" s="299"/>
      <c r="B43" s="287"/>
      <c r="C43" s="272"/>
      <c r="D43" s="272"/>
      <c r="E43" s="1509"/>
      <c r="F43" s="1515"/>
      <c r="G43" s="1512"/>
      <c r="H43" s="1067"/>
      <c r="I43" s="277"/>
    </row>
    <row r="44" spans="1:9" s="460" customFormat="1" hidden="1" outlineLevel="1" x14ac:dyDescent="0.25">
      <c r="A44" s="299"/>
      <c r="B44" s="287"/>
      <c r="C44" s="272"/>
      <c r="D44" s="272"/>
      <c r="E44" s="1509"/>
      <c r="F44" s="1515"/>
      <c r="G44" s="1512"/>
      <c r="H44" s="1067"/>
      <c r="I44" s="277"/>
    </row>
    <row r="45" spans="1:9" s="460" customFormat="1" ht="15.75" hidden="1" outlineLevel="1" thickBot="1" x14ac:dyDescent="0.3">
      <c r="A45" s="499"/>
      <c r="B45" s="285"/>
      <c r="C45" s="278"/>
      <c r="D45" s="278"/>
      <c r="E45" s="1510"/>
      <c r="F45" s="1516"/>
      <c r="G45" s="1513"/>
      <c r="H45" s="1069"/>
      <c r="I45" s="279"/>
    </row>
    <row r="46" spans="1:9" s="460" customFormat="1" hidden="1" outlineLevel="1" x14ac:dyDescent="0.25">
      <c r="A46" s="299"/>
      <c r="B46" s="286"/>
      <c r="C46" s="275"/>
      <c r="D46" s="275"/>
      <c r="E46" s="280"/>
      <c r="F46" s="275"/>
      <c r="G46" s="275"/>
      <c r="H46" s="275"/>
      <c r="I46" s="276"/>
    </row>
    <row r="47" spans="1:9" s="460" customFormat="1" hidden="1" outlineLevel="1" x14ac:dyDescent="0.25">
      <c r="A47" s="299"/>
      <c r="B47" s="287"/>
      <c r="C47" s="272"/>
      <c r="D47" s="272"/>
      <c r="E47" s="273"/>
      <c r="F47" s="272"/>
      <c r="G47" s="272"/>
      <c r="H47" s="272"/>
      <c r="I47" s="277"/>
    </row>
    <row r="48" spans="1:9" s="460" customFormat="1" hidden="1" outlineLevel="1" x14ac:dyDescent="0.25">
      <c r="A48" s="299"/>
      <c r="B48" s="287"/>
      <c r="C48" s="272"/>
      <c r="D48" s="272"/>
      <c r="E48" s="273"/>
      <c r="F48" s="272"/>
      <c r="G48" s="272"/>
      <c r="H48" s="272"/>
      <c r="I48" s="277"/>
    </row>
    <row r="49" spans="1:9" s="460" customFormat="1" hidden="1" outlineLevel="1" x14ac:dyDescent="0.25">
      <c r="A49" s="299"/>
      <c r="B49" s="287"/>
      <c r="C49" s="272"/>
      <c r="D49" s="272"/>
      <c r="E49" s="273"/>
      <c r="F49" s="272"/>
      <c r="G49" s="272"/>
      <c r="H49" s="272"/>
      <c r="I49" s="277"/>
    </row>
    <row r="50" spans="1:9" s="460" customFormat="1" hidden="1" outlineLevel="1" x14ac:dyDescent="0.25">
      <c r="A50" s="299"/>
      <c r="B50" s="287"/>
      <c r="C50" s="272"/>
      <c r="D50" s="272"/>
      <c r="E50" s="273"/>
      <c r="F50" s="272"/>
      <c r="G50" s="272"/>
      <c r="H50" s="272"/>
      <c r="I50" s="277"/>
    </row>
    <row r="51" spans="1:9" s="460" customFormat="1" hidden="1" outlineLevel="1" x14ac:dyDescent="0.25">
      <c r="A51" s="299"/>
      <c r="B51" s="287"/>
      <c r="C51" s="272"/>
      <c r="D51" s="272"/>
      <c r="E51" s="273"/>
      <c r="F51" s="272"/>
      <c r="G51" s="272"/>
      <c r="H51" s="272"/>
      <c r="I51" s="277"/>
    </row>
    <row r="52" spans="1:9" s="460" customFormat="1" hidden="1" outlineLevel="1" x14ac:dyDescent="0.25">
      <c r="A52" s="299"/>
      <c r="B52" s="287"/>
      <c r="C52" s="272"/>
      <c r="D52" s="272"/>
      <c r="E52" s="273"/>
      <c r="F52" s="272"/>
      <c r="G52" s="272"/>
      <c r="H52" s="272"/>
      <c r="I52" s="277"/>
    </row>
    <row r="53" spans="1:9" s="460" customFormat="1" hidden="1" outlineLevel="1" x14ac:dyDescent="0.25">
      <c r="A53" s="299"/>
      <c r="B53" s="287"/>
      <c r="C53" s="272"/>
      <c r="D53" s="272"/>
      <c r="E53" s="273"/>
      <c r="F53" s="272"/>
      <c r="G53" s="272"/>
      <c r="H53" s="272"/>
      <c r="I53" s="277"/>
    </row>
    <row r="54" spans="1:9" s="460" customFormat="1" hidden="1" outlineLevel="1" x14ac:dyDescent="0.25">
      <c r="A54" s="299"/>
      <c r="B54" s="287"/>
      <c r="C54" s="272"/>
      <c r="D54" s="272"/>
      <c r="E54" s="273"/>
      <c r="F54" s="272"/>
      <c r="G54" s="272"/>
      <c r="H54" s="272"/>
      <c r="I54" s="277"/>
    </row>
    <row r="55" spans="1:9" s="460" customFormat="1" hidden="1" outlineLevel="1" x14ac:dyDescent="0.25">
      <c r="A55" s="299"/>
      <c r="B55" s="287"/>
      <c r="C55" s="272"/>
      <c r="D55" s="272"/>
      <c r="E55" s="273"/>
      <c r="F55" s="272"/>
      <c r="G55" s="272"/>
      <c r="H55" s="272"/>
      <c r="I55" s="277"/>
    </row>
    <row r="56" spans="1:9" s="460" customFormat="1" hidden="1" outlineLevel="1" x14ac:dyDescent="0.25">
      <c r="A56" s="299"/>
      <c r="B56" s="287"/>
      <c r="C56" s="272"/>
      <c r="D56" s="272"/>
      <c r="E56" s="273"/>
      <c r="F56" s="272"/>
      <c r="G56" s="272"/>
      <c r="H56" s="272"/>
      <c r="I56" s="277"/>
    </row>
    <row r="57" spans="1:9" s="460" customFormat="1" hidden="1" outlineLevel="1" x14ac:dyDescent="0.25">
      <c r="A57" s="299"/>
      <c r="B57" s="287"/>
      <c r="C57" s="272"/>
      <c r="D57" s="272"/>
      <c r="E57" s="273"/>
      <c r="F57" s="272"/>
      <c r="G57" s="272"/>
      <c r="H57" s="272"/>
      <c r="I57" s="277"/>
    </row>
    <row r="58" spans="1:9" s="460" customFormat="1" ht="15.75" hidden="1" outlineLevel="1" thickBot="1" x14ac:dyDescent="0.3">
      <c r="A58" s="499"/>
      <c r="B58" s="285"/>
      <c r="C58" s="278"/>
      <c r="D58" s="278"/>
      <c r="E58" s="281"/>
      <c r="F58" s="278"/>
      <c r="G58" s="278"/>
      <c r="H58" s="278"/>
      <c r="I58" s="279"/>
    </row>
    <row r="59" spans="1:9" ht="15.75" hidden="1" outlineLevel="1" collapsed="1" thickBot="1" x14ac:dyDescent="0.3">
      <c r="A59" s="130"/>
      <c r="B59" s="130"/>
      <c r="C59" s="130"/>
      <c r="D59" s="130"/>
      <c r="E59" s="130"/>
      <c r="F59" s="130"/>
      <c r="G59" s="130"/>
      <c r="H59" s="1234"/>
      <c r="I59" s="1234"/>
    </row>
    <row r="60" spans="1:9" s="460" customFormat="1" hidden="1" outlineLevel="1" x14ac:dyDescent="0.25">
      <c r="A60" s="286" t="s">
        <v>302</v>
      </c>
      <c r="B60" s="422">
        <v>1</v>
      </c>
      <c r="C60" s="783">
        <v>1</v>
      </c>
      <c r="D60" s="783">
        <v>1</v>
      </c>
      <c r="E60" s="783">
        <v>1</v>
      </c>
      <c r="F60" s="783">
        <v>1</v>
      </c>
      <c r="G60" s="783">
        <v>1</v>
      </c>
      <c r="H60" s="1075">
        <v>1</v>
      </c>
      <c r="I60" s="424">
        <v>1</v>
      </c>
    </row>
    <row r="61" spans="1:9" s="460" customFormat="1" hidden="1" outlineLevel="1" x14ac:dyDescent="0.25">
      <c r="A61" s="287" t="s">
        <v>303</v>
      </c>
      <c r="B61" s="425">
        <v>1</v>
      </c>
      <c r="C61" s="418">
        <v>1</v>
      </c>
      <c r="D61" s="418">
        <v>1</v>
      </c>
      <c r="E61" s="418">
        <v>1</v>
      </c>
      <c r="F61" s="418">
        <v>1</v>
      </c>
      <c r="G61" s="418">
        <v>1</v>
      </c>
      <c r="H61" s="1076">
        <v>1</v>
      </c>
      <c r="I61" s="427">
        <v>1</v>
      </c>
    </row>
    <row r="62" spans="1:9" s="415" customFormat="1" collapsed="1" x14ac:dyDescent="0.25">
      <c r="A62" s="287" t="s">
        <v>479</v>
      </c>
      <c r="B62" s="425">
        <v>10</v>
      </c>
      <c r="C62" s="426">
        <v>10</v>
      </c>
      <c r="D62" s="426">
        <v>10</v>
      </c>
      <c r="E62" s="426">
        <v>10</v>
      </c>
      <c r="F62" s="426">
        <v>10</v>
      </c>
      <c r="G62" s="426">
        <v>10</v>
      </c>
      <c r="H62" s="1076">
        <v>10</v>
      </c>
      <c r="I62" s="427">
        <v>10</v>
      </c>
    </row>
    <row r="63" spans="1:9" s="460" customFormat="1" hidden="1" outlineLevel="1" x14ac:dyDescent="0.25">
      <c r="A63" s="287" t="s">
        <v>304</v>
      </c>
      <c r="B63" s="425">
        <v>1</v>
      </c>
      <c r="C63" s="418">
        <v>1</v>
      </c>
      <c r="D63" s="418">
        <v>1</v>
      </c>
      <c r="E63" s="418">
        <v>1</v>
      </c>
      <c r="F63" s="418">
        <v>1</v>
      </c>
      <c r="G63" s="418">
        <v>1</v>
      </c>
      <c r="H63" s="1076">
        <v>1</v>
      </c>
      <c r="I63" s="427">
        <v>1</v>
      </c>
    </row>
    <row r="64" spans="1:9" s="415" customFormat="1" collapsed="1" x14ac:dyDescent="0.25">
      <c r="A64" s="419" t="s">
        <v>480</v>
      </c>
      <c r="B64" s="425">
        <v>28</v>
      </c>
      <c r="C64" s="370">
        <v>28</v>
      </c>
      <c r="D64" s="370">
        <v>28</v>
      </c>
      <c r="E64" s="370">
        <v>28</v>
      </c>
      <c r="F64" s="370">
        <v>28</v>
      </c>
      <c r="G64" s="370">
        <v>28</v>
      </c>
      <c r="H64" s="370">
        <v>28</v>
      </c>
      <c r="I64" s="427">
        <v>28</v>
      </c>
    </row>
    <row r="65" spans="1:9" s="460" customFormat="1" hidden="1" outlineLevel="1" x14ac:dyDescent="0.25">
      <c r="A65" s="287" t="s">
        <v>305</v>
      </c>
      <c r="B65" s="425">
        <v>1</v>
      </c>
      <c r="C65" s="418">
        <v>1</v>
      </c>
      <c r="D65" s="418">
        <v>1</v>
      </c>
      <c r="E65" s="418">
        <v>1</v>
      </c>
      <c r="F65" s="418">
        <v>1</v>
      </c>
      <c r="G65" s="418">
        <v>1</v>
      </c>
      <c r="H65" s="1076">
        <v>1</v>
      </c>
      <c r="I65" s="427">
        <v>1</v>
      </c>
    </row>
    <row r="66" spans="1:9" s="460" customFormat="1" hidden="1" outlineLevel="1" x14ac:dyDescent="0.25">
      <c r="A66" s="287" t="s">
        <v>306</v>
      </c>
      <c r="B66" s="425">
        <v>1</v>
      </c>
      <c r="C66" s="418">
        <v>1</v>
      </c>
      <c r="D66" s="418">
        <v>1</v>
      </c>
      <c r="E66" s="418">
        <v>1</v>
      </c>
      <c r="F66" s="418">
        <v>1</v>
      </c>
      <c r="G66" s="418">
        <v>1</v>
      </c>
      <c r="H66" s="1076">
        <v>1</v>
      </c>
      <c r="I66" s="427">
        <v>1</v>
      </c>
    </row>
    <row r="67" spans="1:9" s="415" customFormat="1" ht="15.75" collapsed="1" thickBot="1" x14ac:dyDescent="0.3">
      <c r="A67" s="419" t="s">
        <v>485</v>
      </c>
      <c r="B67" s="425">
        <v>5</v>
      </c>
      <c r="C67" s="426">
        <v>5</v>
      </c>
      <c r="D67" s="426">
        <v>5</v>
      </c>
      <c r="E67" s="426">
        <v>5</v>
      </c>
      <c r="F67" s="426">
        <v>5</v>
      </c>
      <c r="G67" s="426">
        <v>5</v>
      </c>
      <c r="H67" s="1076">
        <v>5</v>
      </c>
      <c r="I67" s="427">
        <v>5</v>
      </c>
    </row>
    <row r="68" spans="1:9" s="460" customFormat="1" ht="15.75" hidden="1" outlineLevel="1" thickBot="1" x14ac:dyDescent="0.3">
      <c r="A68" s="285" t="s">
        <v>307</v>
      </c>
      <c r="B68" s="351">
        <v>1</v>
      </c>
      <c r="C68" s="352">
        <v>1</v>
      </c>
      <c r="D68" s="352">
        <v>1</v>
      </c>
      <c r="E68" s="352">
        <v>1</v>
      </c>
      <c r="F68" s="352">
        <v>1</v>
      </c>
      <c r="G68" s="352">
        <v>1</v>
      </c>
      <c r="H68" s="1077">
        <v>1</v>
      </c>
      <c r="I68" s="354">
        <v>1</v>
      </c>
    </row>
    <row r="69" spans="1:9" s="415" customFormat="1" collapsed="1" x14ac:dyDescent="0.25">
      <c r="A69" s="300" t="s">
        <v>279</v>
      </c>
      <c r="B69" s="422">
        <v>1</v>
      </c>
      <c r="C69" s="423">
        <v>1</v>
      </c>
      <c r="D69" s="369">
        <v>1</v>
      </c>
      <c r="E69" s="369">
        <v>4</v>
      </c>
      <c r="F69" s="369">
        <v>1</v>
      </c>
      <c r="G69" s="369">
        <v>1</v>
      </c>
      <c r="H69" s="1075">
        <v>1</v>
      </c>
      <c r="I69" s="424">
        <v>1</v>
      </c>
    </row>
    <row r="70" spans="1:9" s="415" customFormat="1" x14ac:dyDescent="0.25">
      <c r="A70" s="299" t="s">
        <v>825</v>
      </c>
      <c r="B70" s="425">
        <v>1</v>
      </c>
      <c r="C70" s="426">
        <v>1</v>
      </c>
      <c r="D70" s="426">
        <v>1</v>
      </c>
      <c r="E70" s="426">
        <v>1</v>
      </c>
      <c r="F70" s="418">
        <v>1</v>
      </c>
      <c r="G70" s="418">
        <v>1</v>
      </c>
      <c r="H70" s="1076">
        <v>1</v>
      </c>
      <c r="I70" s="427">
        <v>1</v>
      </c>
    </row>
    <row r="71" spans="1:9" s="415" customFormat="1" x14ac:dyDescent="0.25">
      <c r="A71" s="299"/>
      <c r="B71" s="425">
        <v>1</v>
      </c>
      <c r="C71" s="426">
        <v>18</v>
      </c>
      <c r="D71" s="370">
        <v>1</v>
      </c>
      <c r="E71" s="370">
        <v>1</v>
      </c>
      <c r="F71" s="418">
        <v>1</v>
      </c>
      <c r="G71" s="418">
        <v>1</v>
      </c>
      <c r="H71" s="1076">
        <v>1</v>
      </c>
      <c r="I71" s="427">
        <v>1</v>
      </c>
    </row>
    <row r="72" spans="1:9" s="415" customFormat="1" ht="15.75" thickBot="1" x14ac:dyDescent="0.3">
      <c r="A72" s="299"/>
      <c r="B72" s="351">
        <v>1</v>
      </c>
      <c r="C72" s="396">
        <v>1</v>
      </c>
      <c r="D72" s="396">
        <v>20</v>
      </c>
      <c r="E72" s="353">
        <v>1</v>
      </c>
      <c r="F72" s="353">
        <v>2</v>
      </c>
      <c r="G72" s="352">
        <v>1</v>
      </c>
      <c r="H72" s="1077">
        <v>1</v>
      </c>
      <c r="I72" s="354">
        <v>1</v>
      </c>
    </row>
    <row r="73" spans="1:9" s="460" customFormat="1" x14ac:dyDescent="0.25">
      <c r="A73" s="300"/>
      <c r="B73" s="422">
        <v>1</v>
      </c>
      <c r="C73" s="423">
        <v>1</v>
      </c>
      <c r="D73" s="423">
        <v>1</v>
      </c>
      <c r="E73" s="369">
        <v>1</v>
      </c>
      <c r="F73" s="783">
        <v>1</v>
      </c>
      <c r="G73" s="369">
        <v>1</v>
      </c>
      <c r="H73" s="1075">
        <v>1</v>
      </c>
      <c r="I73" s="424">
        <v>1</v>
      </c>
    </row>
    <row r="74" spans="1:9" s="460" customFormat="1" x14ac:dyDescent="0.25">
      <c r="A74" s="299"/>
      <c r="B74" s="425">
        <v>1</v>
      </c>
      <c r="C74" s="426">
        <v>1</v>
      </c>
      <c r="D74" s="426">
        <v>1</v>
      </c>
      <c r="E74" s="370">
        <v>1</v>
      </c>
      <c r="F74" s="418">
        <v>1</v>
      </c>
      <c r="G74" s="418">
        <v>1</v>
      </c>
      <c r="H74" s="1076">
        <v>19</v>
      </c>
      <c r="I74" s="427">
        <v>1</v>
      </c>
    </row>
    <row r="75" spans="1:9" s="415" customFormat="1" x14ac:dyDescent="0.25">
      <c r="A75" s="299"/>
      <c r="B75" s="425">
        <v>1</v>
      </c>
      <c r="C75" s="426">
        <v>1</v>
      </c>
      <c r="D75" s="426">
        <v>1</v>
      </c>
      <c r="E75" s="370">
        <v>2</v>
      </c>
      <c r="F75" s="418">
        <v>1</v>
      </c>
      <c r="G75" s="418">
        <v>1</v>
      </c>
      <c r="H75" s="1076">
        <v>1</v>
      </c>
      <c r="I75" s="427">
        <v>5</v>
      </c>
    </row>
    <row r="76" spans="1:9" s="460" customFormat="1" x14ac:dyDescent="0.25">
      <c r="A76" s="299"/>
      <c r="B76" s="425">
        <v>5</v>
      </c>
      <c r="C76" s="426">
        <v>1</v>
      </c>
      <c r="D76" s="426">
        <v>1</v>
      </c>
      <c r="E76" s="370">
        <v>1</v>
      </c>
      <c r="F76" s="418">
        <v>1</v>
      </c>
      <c r="G76" s="418">
        <v>3</v>
      </c>
      <c r="H76" s="1076">
        <v>1</v>
      </c>
      <c r="I76" s="427">
        <v>1</v>
      </c>
    </row>
    <row r="77" spans="1:9" s="415" customFormat="1" collapsed="1" x14ac:dyDescent="0.25">
      <c r="A77" s="299"/>
      <c r="B77" s="934">
        <v>1</v>
      </c>
      <c r="C77" s="426">
        <v>1</v>
      </c>
      <c r="D77" s="935">
        <v>1</v>
      </c>
      <c r="E77" s="370">
        <v>1</v>
      </c>
      <c r="F77" s="418">
        <v>1</v>
      </c>
      <c r="G77" s="935">
        <v>1</v>
      </c>
      <c r="H77" s="1076">
        <v>1</v>
      </c>
      <c r="I77" s="427">
        <v>1</v>
      </c>
    </row>
    <row r="78" spans="1:9" s="415" customFormat="1" x14ac:dyDescent="0.25">
      <c r="A78" s="299"/>
      <c r="B78" s="425">
        <v>1</v>
      </c>
      <c r="C78" s="426">
        <v>1</v>
      </c>
      <c r="D78" s="426">
        <v>1</v>
      </c>
      <c r="E78" s="370">
        <v>1</v>
      </c>
      <c r="F78" s="418">
        <v>1</v>
      </c>
      <c r="G78" s="935">
        <v>1</v>
      </c>
      <c r="H78" s="1076">
        <v>3</v>
      </c>
      <c r="I78" s="427">
        <v>1</v>
      </c>
    </row>
    <row r="79" spans="1:9" s="415" customFormat="1" x14ac:dyDescent="0.25">
      <c r="A79" s="299"/>
      <c r="B79" s="934">
        <v>1</v>
      </c>
      <c r="C79" s="426">
        <v>1</v>
      </c>
      <c r="D79" s="935">
        <v>1</v>
      </c>
      <c r="E79" s="370">
        <v>1</v>
      </c>
      <c r="F79" s="418">
        <v>10</v>
      </c>
      <c r="G79" s="935">
        <v>1</v>
      </c>
      <c r="H79" s="1076">
        <v>1</v>
      </c>
      <c r="I79" s="427">
        <v>1</v>
      </c>
    </row>
    <row r="80" spans="1:9" s="415" customFormat="1" x14ac:dyDescent="0.25">
      <c r="A80" s="299"/>
      <c r="B80" s="934"/>
      <c r="C80" s="426">
        <v>1</v>
      </c>
      <c r="D80" s="935">
        <v>1</v>
      </c>
      <c r="E80" s="370">
        <v>1</v>
      </c>
      <c r="F80" s="935">
        <v>1</v>
      </c>
      <c r="G80" s="935">
        <v>20</v>
      </c>
      <c r="H80" s="1076">
        <v>1</v>
      </c>
      <c r="I80" s="427"/>
    </row>
    <row r="81" spans="1:9" s="415" customFormat="1" x14ac:dyDescent="0.25">
      <c r="A81" s="299"/>
      <c r="B81" s="425"/>
      <c r="C81" s="426">
        <v>1</v>
      </c>
      <c r="D81" s="935">
        <v>1</v>
      </c>
      <c r="E81" s="370">
        <v>1</v>
      </c>
      <c r="F81" s="935">
        <v>1</v>
      </c>
      <c r="G81" s="935">
        <v>1</v>
      </c>
      <c r="H81" s="1076">
        <v>1</v>
      </c>
      <c r="I81" s="427"/>
    </row>
    <row r="82" spans="1:9" s="460" customFormat="1" x14ac:dyDescent="0.25">
      <c r="A82" s="299"/>
      <c r="B82" s="425"/>
      <c r="C82" s="426">
        <v>1</v>
      </c>
      <c r="D82" s="935">
        <v>1</v>
      </c>
      <c r="E82" s="370"/>
      <c r="F82" s="935">
        <v>1</v>
      </c>
      <c r="G82" s="418"/>
      <c r="H82" s="1078">
        <v>1</v>
      </c>
      <c r="I82" s="936"/>
    </row>
    <row r="83" spans="1:9" s="460" customFormat="1" x14ac:dyDescent="0.25">
      <c r="A83" s="299"/>
      <c r="B83" s="425"/>
      <c r="C83" s="426">
        <v>1</v>
      </c>
      <c r="D83" s="426"/>
      <c r="E83" s="370"/>
      <c r="F83" s="418">
        <v>1</v>
      </c>
      <c r="G83" s="418"/>
      <c r="H83" s="1076">
        <v>1</v>
      </c>
      <c r="I83" s="427"/>
    </row>
    <row r="84" spans="1:9" s="460" customFormat="1" x14ac:dyDescent="0.25">
      <c r="A84" s="299"/>
      <c r="B84" s="425"/>
      <c r="C84" s="426">
        <v>1</v>
      </c>
      <c r="D84" s="426"/>
      <c r="E84" s="370"/>
      <c r="F84" s="418">
        <v>1</v>
      </c>
      <c r="G84" s="418"/>
      <c r="H84" s="1076">
        <v>1</v>
      </c>
      <c r="I84" s="427"/>
    </row>
    <row r="85" spans="1:9" s="460" customFormat="1" ht="15.75" thickBot="1" x14ac:dyDescent="0.3">
      <c r="A85" s="499"/>
      <c r="B85" s="351"/>
      <c r="C85" s="396">
        <v>5</v>
      </c>
      <c r="D85" s="396"/>
      <c r="E85" s="353"/>
      <c r="F85" s="352">
        <v>1</v>
      </c>
      <c r="G85" s="352"/>
      <c r="H85" s="1077">
        <v>1</v>
      </c>
      <c r="I85" s="354"/>
    </row>
    <row r="86" spans="1:9" s="460" customFormat="1" x14ac:dyDescent="0.25">
      <c r="A86" s="300"/>
      <c r="B86" s="422"/>
      <c r="C86" s="423">
        <v>1</v>
      </c>
      <c r="D86" s="423"/>
      <c r="E86" s="369"/>
      <c r="F86" s="783">
        <v>1</v>
      </c>
      <c r="G86" s="783"/>
      <c r="H86" s="1075">
        <v>1</v>
      </c>
      <c r="I86" s="424"/>
    </row>
    <row r="87" spans="1:9" s="460" customFormat="1" x14ac:dyDescent="0.25">
      <c r="A87" s="299"/>
      <c r="B87" s="425"/>
      <c r="C87" s="426">
        <v>1</v>
      </c>
      <c r="D87" s="426"/>
      <c r="E87" s="370"/>
      <c r="F87" s="418"/>
      <c r="G87" s="418"/>
      <c r="H87" s="1076">
        <v>1</v>
      </c>
      <c r="I87" s="427"/>
    </row>
    <row r="88" spans="1:9" s="460" customFormat="1" x14ac:dyDescent="0.25">
      <c r="A88" s="299"/>
      <c r="B88" s="425"/>
      <c r="C88" s="426">
        <v>1</v>
      </c>
      <c r="D88" s="426"/>
      <c r="E88" s="370"/>
      <c r="F88" s="418"/>
      <c r="G88" s="418"/>
      <c r="H88" s="1076">
        <v>1</v>
      </c>
      <c r="I88" s="427"/>
    </row>
    <row r="89" spans="1:9" s="460" customFormat="1" x14ac:dyDescent="0.25">
      <c r="A89" s="299"/>
      <c r="B89" s="425"/>
      <c r="C89" s="426">
        <v>1</v>
      </c>
      <c r="D89" s="426"/>
      <c r="E89" s="370"/>
      <c r="F89" s="418"/>
      <c r="G89" s="418"/>
      <c r="H89" s="1076">
        <v>1</v>
      </c>
      <c r="I89" s="427"/>
    </row>
    <row r="90" spans="1:9" s="460" customFormat="1" x14ac:dyDescent="0.25">
      <c r="A90" s="299"/>
      <c r="B90" s="425"/>
      <c r="C90" s="426"/>
      <c r="D90" s="426"/>
      <c r="E90" s="370"/>
      <c r="F90" s="418"/>
      <c r="G90" s="418"/>
      <c r="H90" s="1076">
        <v>1</v>
      </c>
      <c r="I90" s="427"/>
    </row>
    <row r="91" spans="1:9" s="460" customFormat="1" x14ac:dyDescent="0.25">
      <c r="A91" s="299"/>
      <c r="B91" s="425"/>
      <c r="C91" s="426"/>
      <c r="D91" s="426"/>
      <c r="E91" s="370"/>
      <c r="F91" s="418"/>
      <c r="G91" s="418"/>
      <c r="H91" s="1076">
        <v>5</v>
      </c>
      <c r="I91" s="427"/>
    </row>
    <row r="92" spans="1:9" s="460" customFormat="1" x14ac:dyDescent="0.25">
      <c r="A92" s="299"/>
      <c r="B92" s="425"/>
      <c r="C92" s="426"/>
      <c r="D92" s="426"/>
      <c r="E92" s="370"/>
      <c r="F92" s="418"/>
      <c r="G92" s="418"/>
      <c r="H92" s="1076">
        <v>4</v>
      </c>
      <c r="I92" s="427"/>
    </row>
    <row r="93" spans="1:9" s="460" customFormat="1" x14ac:dyDescent="0.25">
      <c r="A93" s="299"/>
      <c r="B93" s="425"/>
      <c r="C93" s="426"/>
      <c r="D93" s="426"/>
      <c r="E93" s="370"/>
      <c r="F93" s="418"/>
      <c r="G93" s="418"/>
      <c r="H93" s="1076">
        <v>4</v>
      </c>
      <c r="I93" s="427"/>
    </row>
    <row r="94" spans="1:9" s="460" customFormat="1" x14ac:dyDescent="0.25">
      <c r="A94" s="299"/>
      <c r="B94" s="425"/>
      <c r="C94" s="426"/>
      <c r="D94" s="426"/>
      <c r="E94" s="370"/>
      <c r="F94" s="418"/>
      <c r="G94" s="418"/>
      <c r="H94" s="1076">
        <v>1</v>
      </c>
      <c r="I94" s="427"/>
    </row>
    <row r="95" spans="1:9" s="460" customFormat="1" ht="15.75" thickBot="1" x14ac:dyDescent="0.3">
      <c r="A95" s="299"/>
      <c r="B95" s="425"/>
      <c r="C95" s="426"/>
      <c r="D95" s="426"/>
      <c r="E95" s="370"/>
      <c r="F95" s="418"/>
      <c r="G95" s="418"/>
      <c r="H95" s="1076">
        <v>1</v>
      </c>
      <c r="I95" s="427"/>
    </row>
    <row r="96" spans="1:9" s="460" customFormat="1" hidden="1" outlineLevel="1" x14ac:dyDescent="0.25">
      <c r="A96" s="299"/>
      <c r="B96" s="425"/>
      <c r="C96" s="426"/>
      <c r="D96" s="426"/>
      <c r="E96" s="370"/>
      <c r="F96" s="418"/>
      <c r="G96" s="418"/>
      <c r="H96" s="1076"/>
      <c r="I96" s="427"/>
    </row>
    <row r="97" spans="1:9" s="460" customFormat="1" hidden="1" outlineLevel="1" x14ac:dyDescent="0.25">
      <c r="A97" s="299"/>
      <c r="B97" s="425"/>
      <c r="C97" s="426"/>
      <c r="D97" s="426"/>
      <c r="E97" s="370"/>
      <c r="F97" s="418"/>
      <c r="G97" s="418"/>
      <c r="H97" s="1076"/>
      <c r="I97" s="427"/>
    </row>
    <row r="98" spans="1:9" s="460" customFormat="1" ht="15.75" hidden="1" outlineLevel="1" thickBot="1" x14ac:dyDescent="0.3">
      <c r="A98" s="499"/>
      <c r="B98" s="351"/>
      <c r="C98" s="396"/>
      <c r="D98" s="396"/>
      <c r="E98" s="353"/>
      <c r="F98" s="352"/>
      <c r="G98" s="352"/>
      <c r="H98" s="1077"/>
      <c r="I98" s="354"/>
    </row>
    <row r="99" spans="1:9" s="460" customFormat="1" hidden="1" outlineLevel="1" x14ac:dyDescent="0.25">
      <c r="A99" s="299"/>
      <c r="B99" s="422"/>
      <c r="C99" s="423"/>
      <c r="D99" s="423"/>
      <c r="E99" s="369"/>
      <c r="F99" s="783"/>
      <c r="G99" s="783"/>
      <c r="H99" s="1075"/>
      <c r="I99" s="424"/>
    </row>
    <row r="100" spans="1:9" s="460" customFormat="1" hidden="1" outlineLevel="1" x14ac:dyDescent="0.25">
      <c r="A100" s="299"/>
      <c r="B100" s="425"/>
      <c r="C100" s="426"/>
      <c r="D100" s="426"/>
      <c r="E100" s="370"/>
      <c r="F100" s="418"/>
      <c r="G100" s="418"/>
      <c r="H100" s="1076"/>
      <c r="I100" s="427"/>
    </row>
    <row r="101" spans="1:9" s="460" customFormat="1" hidden="1" outlineLevel="1" x14ac:dyDescent="0.25">
      <c r="A101" s="299"/>
      <c r="B101" s="425"/>
      <c r="C101" s="426"/>
      <c r="D101" s="426"/>
      <c r="E101" s="370"/>
      <c r="F101" s="418"/>
      <c r="G101" s="418"/>
      <c r="H101" s="1076"/>
      <c r="I101" s="427"/>
    </row>
    <row r="102" spans="1:9" s="460" customFormat="1" hidden="1" outlineLevel="1" x14ac:dyDescent="0.25">
      <c r="A102" s="299"/>
      <c r="B102" s="425"/>
      <c r="C102" s="426"/>
      <c r="D102" s="426"/>
      <c r="E102" s="370"/>
      <c r="F102" s="418"/>
      <c r="G102" s="418"/>
      <c r="H102" s="1076"/>
      <c r="I102" s="427"/>
    </row>
    <row r="103" spans="1:9" s="460" customFormat="1" hidden="1" outlineLevel="1" x14ac:dyDescent="0.25">
      <c r="A103" s="299"/>
      <c r="B103" s="425"/>
      <c r="C103" s="426"/>
      <c r="D103" s="426"/>
      <c r="E103" s="370"/>
      <c r="F103" s="418"/>
      <c r="G103" s="418"/>
      <c r="H103" s="1076"/>
      <c r="I103" s="427"/>
    </row>
    <row r="104" spans="1:9" s="460" customFormat="1" hidden="1" outlineLevel="1" x14ac:dyDescent="0.25">
      <c r="A104" s="299"/>
      <c r="B104" s="425"/>
      <c r="C104" s="426"/>
      <c r="D104" s="426"/>
      <c r="E104" s="370"/>
      <c r="F104" s="418"/>
      <c r="G104" s="418"/>
      <c r="H104" s="1076"/>
      <c r="I104" s="427"/>
    </row>
    <row r="105" spans="1:9" s="460" customFormat="1" hidden="1" outlineLevel="1" x14ac:dyDescent="0.25">
      <c r="A105" s="299"/>
      <c r="B105" s="425"/>
      <c r="C105" s="426"/>
      <c r="D105" s="426"/>
      <c r="E105" s="370"/>
      <c r="F105" s="418"/>
      <c r="G105" s="418"/>
      <c r="H105" s="1076"/>
      <c r="I105" s="427"/>
    </row>
    <row r="106" spans="1:9" s="460" customFormat="1" hidden="1" outlineLevel="1" x14ac:dyDescent="0.25">
      <c r="A106" s="299"/>
      <c r="B106" s="425"/>
      <c r="C106" s="426"/>
      <c r="D106" s="426"/>
      <c r="E106" s="370"/>
      <c r="F106" s="418"/>
      <c r="G106" s="418"/>
      <c r="H106" s="1076"/>
      <c r="I106" s="427"/>
    </row>
    <row r="107" spans="1:9" s="460" customFormat="1" hidden="1" outlineLevel="1" x14ac:dyDescent="0.25">
      <c r="A107" s="299"/>
      <c r="B107" s="425"/>
      <c r="C107" s="426"/>
      <c r="D107" s="426"/>
      <c r="E107" s="370"/>
      <c r="F107" s="418"/>
      <c r="G107" s="418"/>
      <c r="H107" s="1076"/>
      <c r="I107" s="427"/>
    </row>
    <row r="108" spans="1:9" s="460" customFormat="1" hidden="1" outlineLevel="1" x14ac:dyDescent="0.25">
      <c r="A108" s="299"/>
      <c r="B108" s="425"/>
      <c r="C108" s="426"/>
      <c r="D108" s="426"/>
      <c r="E108" s="370"/>
      <c r="F108" s="418"/>
      <c r="G108" s="418"/>
      <c r="H108" s="1076"/>
      <c r="I108" s="427"/>
    </row>
    <row r="109" spans="1:9" s="460" customFormat="1" hidden="1" outlineLevel="1" x14ac:dyDescent="0.25">
      <c r="A109" s="299"/>
      <c r="B109" s="425"/>
      <c r="C109" s="426"/>
      <c r="D109" s="426"/>
      <c r="E109" s="370"/>
      <c r="F109" s="418"/>
      <c r="G109" s="418"/>
      <c r="H109" s="1076"/>
      <c r="I109" s="427"/>
    </row>
    <row r="110" spans="1:9" s="460" customFormat="1" hidden="1" outlineLevel="1" x14ac:dyDescent="0.25">
      <c r="A110" s="299"/>
      <c r="B110" s="425"/>
      <c r="C110" s="426"/>
      <c r="D110" s="426"/>
      <c r="E110" s="370"/>
      <c r="F110" s="418"/>
      <c r="G110" s="418"/>
      <c r="H110" s="1076"/>
      <c r="I110" s="427"/>
    </row>
    <row r="111" spans="1:9" s="460" customFormat="1" ht="15.75" hidden="1" outlineLevel="1" thickBot="1" x14ac:dyDescent="0.3">
      <c r="A111" s="499"/>
      <c r="B111" s="351"/>
      <c r="C111" s="396"/>
      <c r="D111" s="396"/>
      <c r="E111" s="353"/>
      <c r="F111" s="352"/>
      <c r="G111" s="352"/>
      <c r="H111" s="1077"/>
      <c r="I111" s="354"/>
    </row>
    <row r="112" spans="1:9" s="130" customFormat="1" ht="15.75" hidden="1" outlineLevel="1" thickBot="1" x14ac:dyDescent="0.3">
      <c r="A112" s="963"/>
      <c r="B112" s="962"/>
      <c r="C112" s="964"/>
      <c r="D112" s="964"/>
      <c r="E112" s="965"/>
      <c r="F112" s="962"/>
      <c r="G112" s="962"/>
      <c r="H112" s="962"/>
      <c r="I112" s="417"/>
    </row>
    <row r="113" spans="1:9" s="130" customFormat="1" ht="15.75" hidden="1" outlineLevel="1" thickBot="1" x14ac:dyDescent="0.3">
      <c r="A113" s="400" t="s">
        <v>478</v>
      </c>
      <c r="B113" s="993" t="s">
        <v>822</v>
      </c>
      <c r="C113" s="994" t="s">
        <v>822</v>
      </c>
      <c r="D113" s="994" t="s">
        <v>822</v>
      </c>
      <c r="E113" s="994" t="s">
        <v>822</v>
      </c>
      <c r="F113" s="994" t="s">
        <v>822</v>
      </c>
      <c r="G113" s="994" t="s">
        <v>822</v>
      </c>
      <c r="H113" s="1079" t="s">
        <v>822</v>
      </c>
      <c r="I113" s="995" t="s">
        <v>822</v>
      </c>
    </row>
    <row r="114" spans="1:9" s="460" customFormat="1" hidden="1" outlineLevel="1" x14ac:dyDescent="0.25">
      <c r="A114" s="286" t="s">
        <v>302</v>
      </c>
      <c r="B114" s="1015" t="s">
        <v>835</v>
      </c>
      <c r="C114" s="1016" t="s">
        <v>835</v>
      </c>
      <c r="D114" s="1016" t="s">
        <v>835</v>
      </c>
      <c r="E114" s="1016" t="s">
        <v>835</v>
      </c>
      <c r="F114" s="1016" t="s">
        <v>835</v>
      </c>
      <c r="G114" s="1016" t="s">
        <v>835</v>
      </c>
      <c r="H114" s="1080" t="s">
        <v>835</v>
      </c>
      <c r="I114" s="1017" t="s">
        <v>835</v>
      </c>
    </row>
    <row r="115" spans="1:9" s="460" customFormat="1" hidden="1" outlineLevel="1" x14ac:dyDescent="0.25">
      <c r="A115" s="287" t="s">
        <v>303</v>
      </c>
      <c r="B115" s="425" t="s">
        <v>822</v>
      </c>
      <c r="C115" s="418" t="s">
        <v>822</v>
      </c>
      <c r="D115" s="418" t="s">
        <v>822</v>
      </c>
      <c r="E115" s="418" t="s">
        <v>822</v>
      </c>
      <c r="F115" s="418" t="s">
        <v>822</v>
      </c>
      <c r="G115" s="418" t="s">
        <v>822</v>
      </c>
      <c r="H115" s="1076" t="s">
        <v>822</v>
      </c>
      <c r="I115" s="427" t="s">
        <v>822</v>
      </c>
    </row>
    <row r="116" spans="1:9" s="460" customFormat="1" hidden="1" outlineLevel="1" collapsed="1" x14ac:dyDescent="0.25">
      <c r="A116" s="287" t="s">
        <v>479</v>
      </c>
      <c r="B116" s="425" t="s">
        <v>822</v>
      </c>
      <c r="C116" s="418" t="s">
        <v>822</v>
      </c>
      <c r="D116" s="418" t="s">
        <v>822</v>
      </c>
      <c r="E116" s="418" t="s">
        <v>822</v>
      </c>
      <c r="F116" s="418" t="s">
        <v>822</v>
      </c>
      <c r="G116" s="418" t="s">
        <v>822</v>
      </c>
      <c r="H116" s="1076" t="s">
        <v>822</v>
      </c>
      <c r="I116" s="427" t="s">
        <v>822</v>
      </c>
    </row>
    <row r="117" spans="1:9" s="460" customFormat="1" hidden="1" outlineLevel="1" x14ac:dyDescent="0.25">
      <c r="A117" s="287" t="s">
        <v>304</v>
      </c>
      <c r="B117" s="425" t="s">
        <v>822</v>
      </c>
      <c r="C117" s="418" t="s">
        <v>822</v>
      </c>
      <c r="D117" s="418" t="s">
        <v>822</v>
      </c>
      <c r="E117" s="418" t="s">
        <v>822</v>
      </c>
      <c r="F117" s="418" t="s">
        <v>822</v>
      </c>
      <c r="G117" s="418" t="s">
        <v>822</v>
      </c>
      <c r="H117" s="1076" t="s">
        <v>822</v>
      </c>
      <c r="I117" s="427" t="s">
        <v>822</v>
      </c>
    </row>
    <row r="118" spans="1:9" s="460" customFormat="1" hidden="1" outlineLevel="1" collapsed="1" x14ac:dyDescent="0.25">
      <c r="A118" s="419" t="s">
        <v>480</v>
      </c>
      <c r="B118" s="425" t="s">
        <v>822</v>
      </c>
      <c r="C118" s="418" t="s">
        <v>822</v>
      </c>
      <c r="D118" s="418" t="s">
        <v>822</v>
      </c>
      <c r="E118" s="418" t="s">
        <v>822</v>
      </c>
      <c r="F118" s="418" t="s">
        <v>822</v>
      </c>
      <c r="G118" s="418" t="s">
        <v>822</v>
      </c>
      <c r="H118" s="1076" t="s">
        <v>822</v>
      </c>
      <c r="I118" s="427" t="s">
        <v>822</v>
      </c>
    </row>
    <row r="119" spans="1:9" s="460" customFormat="1" hidden="1" outlineLevel="1" x14ac:dyDescent="0.25">
      <c r="A119" s="287" t="s">
        <v>305</v>
      </c>
      <c r="B119" s="425" t="s">
        <v>822</v>
      </c>
      <c r="C119" s="418" t="s">
        <v>822</v>
      </c>
      <c r="D119" s="418" t="s">
        <v>822</v>
      </c>
      <c r="E119" s="418" t="s">
        <v>822</v>
      </c>
      <c r="F119" s="418" t="s">
        <v>822</v>
      </c>
      <c r="G119" s="418" t="s">
        <v>822</v>
      </c>
      <c r="H119" s="1076" t="s">
        <v>822</v>
      </c>
      <c r="I119" s="427" t="s">
        <v>822</v>
      </c>
    </row>
    <row r="120" spans="1:9" s="460" customFormat="1" hidden="1" outlineLevel="1" x14ac:dyDescent="0.25">
      <c r="A120" s="287" t="s">
        <v>306</v>
      </c>
      <c r="B120" s="425" t="s">
        <v>822</v>
      </c>
      <c r="C120" s="418" t="s">
        <v>822</v>
      </c>
      <c r="D120" s="418" t="s">
        <v>822</v>
      </c>
      <c r="E120" s="418" t="s">
        <v>822</v>
      </c>
      <c r="F120" s="418" t="s">
        <v>822</v>
      </c>
      <c r="G120" s="418" t="s">
        <v>822</v>
      </c>
      <c r="H120" s="1076" t="s">
        <v>822</v>
      </c>
      <c r="I120" s="427" t="s">
        <v>822</v>
      </c>
    </row>
    <row r="121" spans="1:9" s="460" customFormat="1" hidden="1" outlineLevel="1" collapsed="1" x14ac:dyDescent="0.25">
      <c r="A121" s="419" t="s">
        <v>485</v>
      </c>
      <c r="B121" s="425" t="s">
        <v>822</v>
      </c>
      <c r="C121" s="418" t="s">
        <v>822</v>
      </c>
      <c r="D121" s="418" t="s">
        <v>822</v>
      </c>
      <c r="E121" s="418" t="s">
        <v>822</v>
      </c>
      <c r="F121" s="418" t="s">
        <v>822</v>
      </c>
      <c r="G121" s="418" t="s">
        <v>822</v>
      </c>
      <c r="H121" s="1076" t="s">
        <v>822</v>
      </c>
      <c r="I121" s="427" t="s">
        <v>822</v>
      </c>
    </row>
    <row r="122" spans="1:9" s="460" customFormat="1" ht="15.75" hidden="1" outlineLevel="1" thickBot="1" x14ac:dyDescent="0.3">
      <c r="A122" s="285" t="s">
        <v>307</v>
      </c>
      <c r="B122" s="351" t="s">
        <v>822</v>
      </c>
      <c r="C122" s="352" t="s">
        <v>822</v>
      </c>
      <c r="D122" s="352" t="s">
        <v>822</v>
      </c>
      <c r="E122" s="352" t="s">
        <v>822</v>
      </c>
      <c r="F122" s="352" t="s">
        <v>822</v>
      </c>
      <c r="G122" s="352" t="s">
        <v>822</v>
      </c>
      <c r="H122" s="1077" t="s">
        <v>822</v>
      </c>
      <c r="I122" s="354" t="s">
        <v>822</v>
      </c>
    </row>
    <row r="123" spans="1:9" s="460" customFormat="1" collapsed="1" x14ac:dyDescent="0.25">
      <c r="A123" s="300" t="s">
        <v>279</v>
      </c>
      <c r="B123" s="422" t="s">
        <v>824</v>
      </c>
      <c r="C123" s="423" t="s">
        <v>824</v>
      </c>
      <c r="D123" s="369" t="s">
        <v>823</v>
      </c>
      <c r="E123" s="369" t="s">
        <v>823</v>
      </c>
      <c r="F123" s="369" t="s">
        <v>823</v>
      </c>
      <c r="G123" s="369" t="s">
        <v>823</v>
      </c>
      <c r="H123" s="1075" t="s">
        <v>822</v>
      </c>
      <c r="I123" s="424" t="s">
        <v>824</v>
      </c>
    </row>
    <row r="124" spans="1:9" s="460" customFormat="1" x14ac:dyDescent="0.25">
      <c r="A124" s="299" t="s">
        <v>826</v>
      </c>
      <c r="B124" s="425" t="s">
        <v>823</v>
      </c>
      <c r="C124" s="426" t="s">
        <v>823</v>
      </c>
      <c r="D124" s="426" t="s">
        <v>824</v>
      </c>
      <c r="E124" s="426" t="s">
        <v>823</v>
      </c>
      <c r="F124" s="418" t="s">
        <v>824</v>
      </c>
      <c r="G124" s="418" t="s">
        <v>823</v>
      </c>
      <c r="H124" s="1076" t="s">
        <v>823</v>
      </c>
      <c r="I124" s="427" t="s">
        <v>823</v>
      </c>
    </row>
    <row r="125" spans="1:9" s="460" customFormat="1" x14ac:dyDescent="0.25">
      <c r="A125" s="299"/>
      <c r="B125" s="425" t="s">
        <v>823</v>
      </c>
      <c r="C125" s="426" t="s">
        <v>823</v>
      </c>
      <c r="D125" s="370" t="s">
        <v>823</v>
      </c>
      <c r="E125" s="370" t="s">
        <v>824</v>
      </c>
      <c r="F125" s="418" t="s">
        <v>822</v>
      </c>
      <c r="G125" s="418" t="s">
        <v>824</v>
      </c>
      <c r="H125" s="1076" t="s">
        <v>824</v>
      </c>
      <c r="I125" s="427" t="s">
        <v>823</v>
      </c>
    </row>
    <row r="126" spans="1:9" s="460" customFormat="1" ht="15.75" thickBot="1" x14ac:dyDescent="0.3">
      <c r="A126" s="299"/>
      <c r="B126" s="351" t="s">
        <v>823</v>
      </c>
      <c r="C126" s="396" t="s">
        <v>823</v>
      </c>
      <c r="D126" s="396" t="s">
        <v>823</v>
      </c>
      <c r="E126" s="353" t="s">
        <v>822</v>
      </c>
      <c r="F126" s="353" t="s">
        <v>823</v>
      </c>
      <c r="G126" s="352" t="s">
        <v>823</v>
      </c>
      <c r="H126" s="1077" t="s">
        <v>823</v>
      </c>
      <c r="I126" s="354" t="s">
        <v>823</v>
      </c>
    </row>
    <row r="127" spans="1:9" s="460" customFormat="1" x14ac:dyDescent="0.25">
      <c r="A127" s="300"/>
      <c r="B127" s="422" t="s">
        <v>823</v>
      </c>
      <c r="C127" s="423" t="s">
        <v>822</v>
      </c>
      <c r="D127" s="423" t="s">
        <v>823</v>
      </c>
      <c r="E127" s="369" t="s">
        <v>823</v>
      </c>
      <c r="F127" s="783" t="s">
        <v>823</v>
      </c>
      <c r="G127" s="369" t="s">
        <v>822</v>
      </c>
      <c r="H127" s="1075" t="s">
        <v>822</v>
      </c>
      <c r="I127" s="424" t="s">
        <v>822</v>
      </c>
    </row>
    <row r="128" spans="1:9" s="460" customFormat="1" x14ac:dyDescent="0.25">
      <c r="A128" s="299"/>
      <c r="B128" s="425" t="s">
        <v>823</v>
      </c>
      <c r="C128" s="426" t="s">
        <v>823</v>
      </c>
      <c r="D128" s="426" t="s">
        <v>823</v>
      </c>
      <c r="E128" s="370" t="s">
        <v>822</v>
      </c>
      <c r="F128" s="418" t="s">
        <v>823</v>
      </c>
      <c r="G128" s="418" t="s">
        <v>823</v>
      </c>
      <c r="H128" s="1076" t="s">
        <v>823</v>
      </c>
      <c r="I128" s="427" t="s">
        <v>822</v>
      </c>
    </row>
    <row r="129" spans="1:9" s="460" customFormat="1" x14ac:dyDescent="0.25">
      <c r="A129" s="299"/>
      <c r="B129" s="1324" t="s">
        <v>822</v>
      </c>
      <c r="C129" s="426" t="s">
        <v>823</v>
      </c>
      <c r="D129" s="426" t="s">
        <v>823</v>
      </c>
      <c r="E129" s="370" t="s">
        <v>823</v>
      </c>
      <c r="F129" s="418" t="s">
        <v>822</v>
      </c>
      <c r="G129" s="418" t="s">
        <v>823</v>
      </c>
      <c r="H129" s="1076" t="s">
        <v>823</v>
      </c>
      <c r="I129" s="427" t="s">
        <v>823</v>
      </c>
    </row>
    <row r="130" spans="1:9" s="460" customFormat="1" x14ac:dyDescent="0.25">
      <c r="A130" s="299"/>
      <c r="B130" s="425" t="s">
        <v>823</v>
      </c>
      <c r="C130" s="426" t="s">
        <v>822</v>
      </c>
      <c r="D130" s="426" t="s">
        <v>823</v>
      </c>
      <c r="E130" s="370" t="s">
        <v>823</v>
      </c>
      <c r="F130" s="418" t="s">
        <v>823</v>
      </c>
      <c r="G130" s="418" t="s">
        <v>822</v>
      </c>
      <c r="H130" s="1076" t="s">
        <v>824</v>
      </c>
      <c r="I130" s="427" t="s">
        <v>823</v>
      </c>
    </row>
    <row r="131" spans="1:9" s="460" customFormat="1" collapsed="1" x14ac:dyDescent="0.25">
      <c r="A131" s="299"/>
      <c r="B131" s="425" t="s">
        <v>822</v>
      </c>
      <c r="C131" s="426" t="s">
        <v>823</v>
      </c>
      <c r="D131" s="981" t="s">
        <v>823</v>
      </c>
      <c r="E131" s="370" t="s">
        <v>823</v>
      </c>
      <c r="F131" s="418" t="s">
        <v>823</v>
      </c>
      <c r="G131" s="418" t="s">
        <v>822</v>
      </c>
      <c r="H131" s="1076" t="s">
        <v>822</v>
      </c>
      <c r="I131" s="427" t="s">
        <v>823</v>
      </c>
    </row>
    <row r="132" spans="1:9" s="460" customFormat="1" x14ac:dyDescent="0.25">
      <c r="A132" s="299"/>
      <c r="B132" s="1504" t="s">
        <v>823</v>
      </c>
      <c r="C132" s="426" t="s">
        <v>823</v>
      </c>
      <c r="D132" s="981" t="s">
        <v>823</v>
      </c>
      <c r="E132" s="370" t="s">
        <v>823</v>
      </c>
      <c r="F132" s="418" t="s">
        <v>822</v>
      </c>
      <c r="G132" s="418" t="s">
        <v>823</v>
      </c>
      <c r="H132" s="1076" t="s">
        <v>822</v>
      </c>
      <c r="I132" s="1325" t="s">
        <v>822</v>
      </c>
    </row>
    <row r="133" spans="1:9" s="460" customFormat="1" x14ac:dyDescent="0.25">
      <c r="A133" s="299"/>
      <c r="B133" s="1504" t="s">
        <v>823</v>
      </c>
      <c r="C133" s="426" t="s">
        <v>823</v>
      </c>
      <c r="D133" s="981" t="s">
        <v>822</v>
      </c>
      <c r="E133" s="426" t="s">
        <v>822</v>
      </c>
      <c r="F133" s="418" t="s">
        <v>823</v>
      </c>
      <c r="G133" s="426" t="s">
        <v>822</v>
      </c>
      <c r="H133" s="1076" t="s">
        <v>823</v>
      </c>
      <c r="I133" s="427" t="s">
        <v>823</v>
      </c>
    </row>
    <row r="134" spans="1:9" s="460" customFormat="1" x14ac:dyDescent="0.25">
      <c r="A134" s="299"/>
      <c r="B134" s="425"/>
      <c r="C134" s="426" t="s">
        <v>823</v>
      </c>
      <c r="D134" s="426" t="s">
        <v>823</v>
      </c>
      <c r="E134" s="370" t="s">
        <v>823</v>
      </c>
      <c r="F134" s="935" t="s">
        <v>823</v>
      </c>
      <c r="G134" s="426" t="s">
        <v>822</v>
      </c>
      <c r="H134" s="1076" t="s">
        <v>823</v>
      </c>
      <c r="I134" s="427"/>
    </row>
    <row r="135" spans="1:9" s="460" customFormat="1" x14ac:dyDescent="0.25">
      <c r="A135" s="299"/>
      <c r="B135" s="425"/>
      <c r="C135" s="426" t="s">
        <v>823</v>
      </c>
      <c r="D135" s="426" t="s">
        <v>823</v>
      </c>
      <c r="E135" s="370" t="s">
        <v>823</v>
      </c>
      <c r="F135" s="426" t="s">
        <v>822</v>
      </c>
      <c r="G135" s="981" t="s">
        <v>823</v>
      </c>
      <c r="H135" s="1076" t="s">
        <v>823</v>
      </c>
      <c r="I135" s="427"/>
    </row>
    <row r="136" spans="1:9" s="460" customFormat="1" x14ac:dyDescent="0.25">
      <c r="A136" s="299"/>
      <c r="B136" s="425"/>
      <c r="C136" s="426" t="s">
        <v>823</v>
      </c>
      <c r="D136" s="426" t="s">
        <v>823</v>
      </c>
      <c r="E136" s="370"/>
      <c r="F136" s="981" t="s">
        <v>823</v>
      </c>
      <c r="G136" s="418"/>
      <c r="H136" s="1252" t="s">
        <v>823</v>
      </c>
      <c r="I136" s="936"/>
    </row>
    <row r="137" spans="1:9" s="460" customFormat="1" x14ac:dyDescent="0.25">
      <c r="A137" s="299"/>
      <c r="B137" s="425"/>
      <c r="C137" s="426" t="s">
        <v>822</v>
      </c>
      <c r="D137" s="426"/>
      <c r="E137" s="370"/>
      <c r="F137" s="418" t="s">
        <v>823</v>
      </c>
      <c r="G137" s="418"/>
      <c r="H137" s="1076" t="s">
        <v>823</v>
      </c>
      <c r="I137" s="427"/>
    </row>
    <row r="138" spans="1:9" s="460" customFormat="1" x14ac:dyDescent="0.25">
      <c r="A138" s="299"/>
      <c r="B138" s="425"/>
      <c r="C138" s="426" t="s">
        <v>822</v>
      </c>
      <c r="D138" s="426"/>
      <c r="E138" s="370"/>
      <c r="F138" s="418" t="s">
        <v>823</v>
      </c>
      <c r="G138" s="418"/>
      <c r="H138" s="1076" t="s">
        <v>823</v>
      </c>
      <c r="I138" s="427"/>
    </row>
    <row r="139" spans="1:9" s="460" customFormat="1" ht="15.75" thickBot="1" x14ac:dyDescent="0.3">
      <c r="A139" s="499"/>
      <c r="B139" s="351"/>
      <c r="C139" s="396" t="s">
        <v>823</v>
      </c>
      <c r="D139" s="396"/>
      <c r="E139" s="353"/>
      <c r="F139" s="352" t="s">
        <v>823</v>
      </c>
      <c r="G139" s="352"/>
      <c r="H139" s="1077" t="s">
        <v>823</v>
      </c>
      <c r="I139" s="354"/>
    </row>
    <row r="140" spans="1:9" s="460" customFormat="1" x14ac:dyDescent="0.25">
      <c r="A140" s="300"/>
      <c r="B140" s="422"/>
      <c r="C140" s="423" t="s">
        <v>823</v>
      </c>
      <c r="D140" s="423"/>
      <c r="E140" s="369"/>
      <c r="F140" s="783" t="s">
        <v>823</v>
      </c>
      <c r="G140" s="783"/>
      <c r="H140" s="1075" t="s">
        <v>823</v>
      </c>
      <c r="I140" s="424"/>
    </row>
    <row r="141" spans="1:9" s="460" customFormat="1" x14ac:dyDescent="0.25">
      <c r="A141" s="299"/>
      <c r="B141" s="425"/>
      <c r="C141" s="426" t="s">
        <v>823</v>
      </c>
      <c r="D141" s="426"/>
      <c r="E141" s="370"/>
      <c r="F141" s="418"/>
      <c r="G141" s="418"/>
      <c r="H141" s="426" t="s">
        <v>822</v>
      </c>
      <c r="I141" s="427"/>
    </row>
    <row r="142" spans="1:9" s="460" customFormat="1" x14ac:dyDescent="0.25">
      <c r="A142" s="299"/>
      <c r="B142" s="425"/>
      <c r="C142" s="426" t="s">
        <v>823</v>
      </c>
      <c r="D142" s="426"/>
      <c r="E142" s="370"/>
      <c r="F142" s="418"/>
      <c r="G142" s="418"/>
      <c r="H142" s="1076" t="s">
        <v>823</v>
      </c>
      <c r="I142" s="427"/>
    </row>
    <row r="143" spans="1:9" s="460" customFormat="1" x14ac:dyDescent="0.25">
      <c r="A143" s="299"/>
      <c r="B143" s="425"/>
      <c r="C143" s="426" t="s">
        <v>823</v>
      </c>
      <c r="D143" s="426"/>
      <c r="E143" s="370"/>
      <c r="F143" s="418"/>
      <c r="G143" s="418"/>
      <c r="H143" s="1076" t="s">
        <v>822</v>
      </c>
      <c r="I143" s="427"/>
    </row>
    <row r="144" spans="1:9" s="460" customFormat="1" x14ac:dyDescent="0.25">
      <c r="A144" s="299"/>
      <c r="B144" s="425"/>
      <c r="C144" s="426"/>
      <c r="D144" s="426"/>
      <c r="E144" s="370"/>
      <c r="F144" s="418"/>
      <c r="G144" s="418"/>
      <c r="H144" s="1076" t="s">
        <v>822</v>
      </c>
      <c r="I144" s="427"/>
    </row>
    <row r="145" spans="1:9" s="460" customFormat="1" x14ac:dyDescent="0.25">
      <c r="A145" s="299"/>
      <c r="B145" s="425"/>
      <c r="C145" s="426"/>
      <c r="D145" s="426"/>
      <c r="E145" s="370"/>
      <c r="F145" s="418"/>
      <c r="G145" s="418"/>
      <c r="H145" s="1076" t="s">
        <v>823</v>
      </c>
      <c r="I145" s="427"/>
    </row>
    <row r="146" spans="1:9" s="460" customFormat="1" x14ac:dyDescent="0.25">
      <c r="A146" s="299"/>
      <c r="B146" s="425"/>
      <c r="C146" s="426"/>
      <c r="D146" s="426"/>
      <c r="E146" s="370"/>
      <c r="F146" s="418"/>
      <c r="G146" s="418"/>
      <c r="H146" s="426" t="s">
        <v>822</v>
      </c>
      <c r="I146" s="427"/>
    </row>
    <row r="147" spans="1:9" s="460" customFormat="1" x14ac:dyDescent="0.25">
      <c r="A147" s="299"/>
      <c r="B147" s="425"/>
      <c r="C147" s="426"/>
      <c r="D147" s="426"/>
      <c r="E147" s="370"/>
      <c r="F147" s="418"/>
      <c r="G147" s="418"/>
      <c r="H147" s="426" t="s">
        <v>822</v>
      </c>
      <c r="I147" s="427"/>
    </row>
    <row r="148" spans="1:9" s="460" customFormat="1" x14ac:dyDescent="0.25">
      <c r="A148" s="299"/>
      <c r="B148" s="425"/>
      <c r="C148" s="426"/>
      <c r="D148" s="426"/>
      <c r="E148" s="370"/>
      <c r="F148" s="418"/>
      <c r="G148" s="418"/>
      <c r="H148" s="1076" t="s">
        <v>823</v>
      </c>
      <c r="I148" s="427"/>
    </row>
    <row r="149" spans="1:9" s="460" customFormat="1" ht="15.75" thickBot="1" x14ac:dyDescent="0.3">
      <c r="A149" s="299"/>
      <c r="B149" s="425"/>
      <c r="C149" s="426"/>
      <c r="D149" s="426"/>
      <c r="E149" s="370"/>
      <c r="F149" s="418"/>
      <c r="G149" s="418"/>
      <c r="H149" s="1076" t="s">
        <v>823</v>
      </c>
      <c r="I149" s="427"/>
    </row>
    <row r="150" spans="1:9" s="460" customFormat="1" hidden="1" outlineLevel="1" x14ac:dyDescent="0.25">
      <c r="A150" s="299"/>
      <c r="B150" s="425"/>
      <c r="C150" s="426"/>
      <c r="D150" s="426"/>
      <c r="E150" s="370"/>
      <c r="F150" s="418"/>
      <c r="G150" s="418"/>
      <c r="H150" s="1076"/>
      <c r="I150" s="427"/>
    </row>
    <row r="151" spans="1:9" s="460" customFormat="1" hidden="1" outlineLevel="1" x14ac:dyDescent="0.25">
      <c r="A151" s="299"/>
      <c r="B151" s="425"/>
      <c r="C151" s="426"/>
      <c r="D151" s="426"/>
      <c r="E151" s="370"/>
      <c r="F151" s="418"/>
      <c r="G151" s="418"/>
      <c r="H151" s="1076"/>
      <c r="I151" s="427"/>
    </row>
    <row r="152" spans="1:9" s="460" customFormat="1" ht="15.75" hidden="1" outlineLevel="1" thickBot="1" x14ac:dyDescent="0.3">
      <c r="A152" s="499"/>
      <c r="B152" s="351"/>
      <c r="C152" s="396"/>
      <c r="D152" s="396"/>
      <c r="E152" s="353"/>
      <c r="F152" s="352"/>
      <c r="G152" s="352"/>
      <c r="H152" s="1077"/>
      <c r="I152" s="354"/>
    </row>
    <row r="153" spans="1:9" s="460" customFormat="1" hidden="1" outlineLevel="1" x14ac:dyDescent="0.25">
      <c r="A153" s="299"/>
      <c r="B153" s="422"/>
      <c r="C153" s="423"/>
      <c r="D153" s="423"/>
      <c r="E153" s="369"/>
      <c r="F153" s="783"/>
      <c r="G153" s="783"/>
      <c r="H153" s="1075"/>
      <c r="I153" s="424"/>
    </row>
    <row r="154" spans="1:9" s="460" customFormat="1" hidden="1" outlineLevel="1" x14ac:dyDescent="0.25">
      <c r="A154" s="299"/>
      <c r="B154" s="425"/>
      <c r="C154" s="426"/>
      <c r="D154" s="426"/>
      <c r="E154" s="370"/>
      <c r="F154" s="418"/>
      <c r="G154" s="418"/>
      <c r="H154" s="1076"/>
      <c r="I154" s="427"/>
    </row>
    <row r="155" spans="1:9" s="460" customFormat="1" hidden="1" outlineLevel="1" x14ac:dyDescent="0.25">
      <c r="A155" s="299"/>
      <c r="B155" s="425"/>
      <c r="C155" s="426"/>
      <c r="D155" s="426"/>
      <c r="E155" s="370"/>
      <c r="F155" s="418"/>
      <c r="G155" s="418"/>
      <c r="H155" s="1076"/>
      <c r="I155" s="427"/>
    </row>
    <row r="156" spans="1:9" s="460" customFormat="1" hidden="1" outlineLevel="1" x14ac:dyDescent="0.25">
      <c r="A156" s="299"/>
      <c r="B156" s="425"/>
      <c r="C156" s="426"/>
      <c r="D156" s="426"/>
      <c r="E156" s="370"/>
      <c r="F156" s="418"/>
      <c r="G156" s="418"/>
      <c r="H156" s="1076"/>
      <c r="I156" s="427"/>
    </row>
    <row r="157" spans="1:9" s="460" customFormat="1" hidden="1" outlineLevel="1" x14ac:dyDescent="0.25">
      <c r="A157" s="299"/>
      <c r="B157" s="425"/>
      <c r="C157" s="426"/>
      <c r="D157" s="426"/>
      <c r="E157" s="370"/>
      <c r="F157" s="418"/>
      <c r="G157" s="418"/>
      <c r="H157" s="1076"/>
      <c r="I157" s="427"/>
    </row>
    <row r="158" spans="1:9" s="460" customFormat="1" hidden="1" outlineLevel="1" x14ac:dyDescent="0.25">
      <c r="A158" s="299"/>
      <c r="B158" s="425"/>
      <c r="C158" s="426"/>
      <c r="D158" s="426"/>
      <c r="E158" s="370"/>
      <c r="F158" s="418"/>
      <c r="G158" s="418"/>
      <c r="H158" s="1076"/>
      <c r="I158" s="427"/>
    </row>
    <row r="159" spans="1:9" s="460" customFormat="1" hidden="1" outlineLevel="1" x14ac:dyDescent="0.25">
      <c r="A159" s="299"/>
      <c r="B159" s="425"/>
      <c r="C159" s="426"/>
      <c r="D159" s="426"/>
      <c r="E159" s="370"/>
      <c r="F159" s="418"/>
      <c r="G159" s="418"/>
      <c r="H159" s="1076"/>
      <c r="I159" s="427"/>
    </row>
    <row r="160" spans="1:9" s="460" customFormat="1" hidden="1" outlineLevel="1" x14ac:dyDescent="0.25">
      <c r="A160" s="299"/>
      <c r="B160" s="425"/>
      <c r="C160" s="426"/>
      <c r="D160" s="426"/>
      <c r="E160" s="370"/>
      <c r="F160" s="418"/>
      <c r="G160" s="418"/>
      <c r="H160" s="1076"/>
      <c r="I160" s="427"/>
    </row>
    <row r="161" spans="1:9" s="460" customFormat="1" hidden="1" outlineLevel="1" x14ac:dyDescent="0.25">
      <c r="A161" s="299"/>
      <c r="B161" s="425"/>
      <c r="C161" s="426"/>
      <c r="D161" s="426"/>
      <c r="E161" s="370"/>
      <c r="F161" s="418"/>
      <c r="G161" s="418"/>
      <c r="H161" s="1076"/>
      <c r="I161" s="427"/>
    </row>
    <row r="162" spans="1:9" s="460" customFormat="1" hidden="1" outlineLevel="1" x14ac:dyDescent="0.25">
      <c r="A162" s="299"/>
      <c r="B162" s="425"/>
      <c r="C162" s="426"/>
      <c r="D162" s="426"/>
      <c r="E162" s="370"/>
      <c r="F162" s="418"/>
      <c r="G162" s="418"/>
      <c r="H162" s="1076"/>
      <c r="I162" s="427"/>
    </row>
    <row r="163" spans="1:9" s="460" customFormat="1" hidden="1" outlineLevel="1" x14ac:dyDescent="0.25">
      <c r="A163" s="299"/>
      <c r="B163" s="425"/>
      <c r="C163" s="426"/>
      <c r="D163" s="426"/>
      <c r="E163" s="370"/>
      <c r="F163" s="418"/>
      <c r="G163" s="418"/>
      <c r="H163" s="1076"/>
      <c r="I163" s="427"/>
    </row>
    <row r="164" spans="1:9" s="460" customFormat="1" hidden="1" outlineLevel="1" x14ac:dyDescent="0.25">
      <c r="A164" s="299"/>
      <c r="B164" s="425"/>
      <c r="C164" s="426"/>
      <c r="D164" s="426"/>
      <c r="E164" s="370"/>
      <c r="F164" s="418"/>
      <c r="G164" s="418"/>
      <c r="H164" s="1076"/>
      <c r="I164" s="427"/>
    </row>
    <row r="165" spans="1:9" s="460" customFormat="1" ht="15.75" hidden="1" outlineLevel="1" thickBot="1" x14ac:dyDescent="0.3">
      <c r="A165" s="499"/>
      <c r="B165" s="351"/>
      <c r="C165" s="396"/>
      <c r="D165" s="396"/>
      <c r="E165" s="353"/>
      <c r="F165" s="352"/>
      <c r="G165" s="352"/>
      <c r="H165" s="1077"/>
      <c r="I165" s="354"/>
    </row>
    <row r="166" spans="1:9" s="130" customFormat="1" ht="15.75" hidden="1" outlineLevel="1" thickBot="1" x14ac:dyDescent="0.3">
      <c r="A166" s="963"/>
      <c r="B166" s="962"/>
      <c r="C166" s="964"/>
      <c r="D166" s="964"/>
      <c r="E166" s="965"/>
      <c r="F166" s="962"/>
      <c r="G166" s="962"/>
      <c r="H166" s="962"/>
      <c r="I166" s="417"/>
    </row>
    <row r="167" spans="1:9" s="460" customFormat="1" ht="15.75" collapsed="1" thickBot="1" x14ac:dyDescent="0.3">
      <c r="A167" s="400" t="s">
        <v>478</v>
      </c>
      <c r="B167" s="955">
        <f>1/1000</f>
        <v>1E-3</v>
      </c>
      <c r="C167" s="956">
        <f>1/1000</f>
        <v>1E-3</v>
      </c>
      <c r="D167" s="956">
        <f t="shared" ref="D167:I167" si="0">1/1000</f>
        <v>1E-3</v>
      </c>
      <c r="E167" s="956">
        <f t="shared" si="0"/>
        <v>1E-3</v>
      </c>
      <c r="F167" s="956">
        <f t="shared" si="0"/>
        <v>1E-3</v>
      </c>
      <c r="G167" s="956">
        <f t="shared" si="0"/>
        <v>1E-3</v>
      </c>
      <c r="H167" s="1081">
        <f t="shared" si="0"/>
        <v>1E-3</v>
      </c>
      <c r="I167" s="957">
        <f t="shared" si="0"/>
        <v>1E-3</v>
      </c>
    </row>
    <row r="168" spans="1:9" s="460" customFormat="1" x14ac:dyDescent="0.25">
      <c r="A168" s="973" t="s">
        <v>302</v>
      </c>
      <c r="B168" s="1013">
        <f>IF(B114="Back",0,0.1)</f>
        <v>0</v>
      </c>
      <c r="C168" s="989">
        <f>IF(C114="Back",0,0.1)</f>
        <v>0</v>
      </c>
      <c r="D168" s="989">
        <f t="shared" ref="D168:G168" si="1">IF(D114="Back",0,0.1)</f>
        <v>0</v>
      </c>
      <c r="E168" s="989">
        <f t="shared" si="1"/>
        <v>0</v>
      </c>
      <c r="F168" s="989">
        <f t="shared" si="1"/>
        <v>0</v>
      </c>
      <c r="G168" s="989">
        <f t="shared" si="1"/>
        <v>0</v>
      </c>
      <c r="H168" s="1082">
        <f>IF(H114="Back",0,0.1)</f>
        <v>0</v>
      </c>
      <c r="I168" s="1014">
        <f>IF(I114="Back",0,0.1)</f>
        <v>0</v>
      </c>
    </row>
    <row r="169" spans="1:9" s="460" customFormat="1" x14ac:dyDescent="0.25">
      <c r="A169" s="974" t="s">
        <v>303</v>
      </c>
      <c r="B169" s="982">
        <v>0.1</v>
      </c>
      <c r="C169" s="983">
        <v>0.1</v>
      </c>
      <c r="D169" s="983">
        <v>0.1</v>
      </c>
      <c r="E169" s="983">
        <v>0.1</v>
      </c>
      <c r="F169" s="983">
        <v>0.1</v>
      </c>
      <c r="G169" s="983">
        <v>0.1</v>
      </c>
      <c r="H169" s="1083">
        <v>0.1</v>
      </c>
      <c r="I169" s="984">
        <v>0.1</v>
      </c>
    </row>
    <row r="170" spans="1:9" s="460" customFormat="1" x14ac:dyDescent="0.25">
      <c r="A170" s="974" t="s">
        <v>479</v>
      </c>
      <c r="B170" s="911">
        <v>0</v>
      </c>
      <c r="C170" s="794">
        <v>0</v>
      </c>
      <c r="D170" s="794">
        <v>0</v>
      </c>
      <c r="E170" s="794">
        <v>0</v>
      </c>
      <c r="F170" s="794">
        <v>0</v>
      </c>
      <c r="G170" s="794">
        <v>0</v>
      </c>
      <c r="H170" s="1084">
        <v>0</v>
      </c>
      <c r="I170" s="856">
        <v>0</v>
      </c>
    </row>
    <row r="171" spans="1:9" s="460" customFormat="1" x14ac:dyDescent="0.25">
      <c r="A171" s="974" t="s">
        <v>304</v>
      </c>
      <c r="B171" s="911">
        <v>0</v>
      </c>
      <c r="C171" s="794">
        <v>0</v>
      </c>
      <c r="D171" s="794">
        <v>0</v>
      </c>
      <c r="E171" s="794">
        <v>0</v>
      </c>
      <c r="F171" s="794">
        <v>0</v>
      </c>
      <c r="G171" s="794">
        <v>0</v>
      </c>
      <c r="H171" s="1084">
        <v>0</v>
      </c>
      <c r="I171" s="856">
        <v>0</v>
      </c>
    </row>
    <row r="172" spans="1:9" s="460" customFormat="1" x14ac:dyDescent="0.25">
      <c r="A172" s="975" t="s">
        <v>480</v>
      </c>
      <c r="B172" s="978">
        <v>1.4999999999999999E-2</v>
      </c>
      <c r="C172" s="972">
        <v>1.4999999999999999E-2</v>
      </c>
      <c r="D172" s="972">
        <v>1.4999999999999999E-2</v>
      </c>
      <c r="E172" s="972">
        <v>1.4999999999999999E-2</v>
      </c>
      <c r="F172" s="972">
        <v>1.4999999999999999E-2</v>
      </c>
      <c r="G172" s="972">
        <v>1.4999999999999999E-2</v>
      </c>
      <c r="H172" s="1085">
        <v>1.4999999999999999E-2</v>
      </c>
      <c r="I172" s="979">
        <v>1.4999999999999999E-2</v>
      </c>
    </row>
    <row r="173" spans="1:9" s="460" customFormat="1" x14ac:dyDescent="0.25">
      <c r="A173" s="974" t="s">
        <v>305</v>
      </c>
      <c r="B173" s="977">
        <v>0.1</v>
      </c>
      <c r="C173" s="855">
        <v>0.1</v>
      </c>
      <c r="D173" s="855">
        <v>0.1</v>
      </c>
      <c r="E173" s="855">
        <v>0.1</v>
      </c>
      <c r="F173" s="855">
        <v>0.1</v>
      </c>
      <c r="G173" s="855">
        <v>0.1</v>
      </c>
      <c r="H173" s="1086">
        <v>0.1</v>
      </c>
      <c r="I173" s="793">
        <v>0.1</v>
      </c>
    </row>
    <row r="174" spans="1:9" s="460" customFormat="1" x14ac:dyDescent="0.25">
      <c r="A174" s="974" t="s">
        <v>306</v>
      </c>
      <c r="B174" s="911">
        <v>0</v>
      </c>
      <c r="C174" s="794">
        <v>0</v>
      </c>
      <c r="D174" s="794">
        <v>0</v>
      </c>
      <c r="E174" s="794">
        <v>0</v>
      </c>
      <c r="F174" s="794">
        <v>0</v>
      </c>
      <c r="G174" s="794">
        <v>0</v>
      </c>
      <c r="H174" s="1084">
        <v>0</v>
      </c>
      <c r="I174" s="856">
        <v>0</v>
      </c>
    </row>
    <row r="175" spans="1:9" s="460" customFormat="1" x14ac:dyDescent="0.25">
      <c r="A175" s="975" t="s">
        <v>485</v>
      </c>
      <c r="B175" s="977">
        <v>0.1</v>
      </c>
      <c r="C175" s="855">
        <v>0.1</v>
      </c>
      <c r="D175" s="855">
        <v>0.1</v>
      </c>
      <c r="E175" s="855">
        <v>0.1</v>
      </c>
      <c r="F175" s="855">
        <v>0.1</v>
      </c>
      <c r="G175" s="855">
        <v>0.1</v>
      </c>
      <c r="H175" s="1086">
        <v>0.1</v>
      </c>
      <c r="I175" s="793">
        <v>0.1</v>
      </c>
    </row>
    <row r="176" spans="1:9" s="460" customFormat="1" ht="15.75" thickBot="1" x14ac:dyDescent="0.3">
      <c r="A176" s="976" t="s">
        <v>307</v>
      </c>
      <c r="B176" s="912">
        <v>0.1</v>
      </c>
      <c r="C176" s="913">
        <v>0.1</v>
      </c>
      <c r="D176" s="913">
        <v>0.1</v>
      </c>
      <c r="E176" s="913">
        <v>0.1</v>
      </c>
      <c r="F176" s="913">
        <v>0.1</v>
      </c>
      <c r="G176" s="913">
        <v>0.1</v>
      </c>
      <c r="H176" s="991">
        <v>0.1</v>
      </c>
      <c r="I176" s="980">
        <v>0.1</v>
      </c>
    </row>
    <row r="177" spans="1:9" s="460" customFormat="1" x14ac:dyDescent="0.25">
      <c r="A177" s="300" t="s">
        <v>279</v>
      </c>
      <c r="B177" s="986">
        <v>2</v>
      </c>
      <c r="C177" s="857">
        <v>1</v>
      </c>
      <c r="D177" s="429">
        <v>0.1</v>
      </c>
      <c r="E177" s="429">
        <v>0.1</v>
      </c>
      <c r="F177" s="429">
        <v>0.1</v>
      </c>
      <c r="G177" s="429">
        <v>0.1</v>
      </c>
      <c r="H177" s="988">
        <v>0.1</v>
      </c>
      <c r="I177" s="430">
        <v>0.1</v>
      </c>
    </row>
    <row r="178" spans="1:9" s="460" customFormat="1" x14ac:dyDescent="0.25">
      <c r="A178" s="299" t="s">
        <v>827</v>
      </c>
      <c r="B178" s="985">
        <f>IF(B124="Worn",1,2)</f>
        <v>1</v>
      </c>
      <c r="C178" s="431">
        <v>1</v>
      </c>
      <c r="D178" s="433">
        <v>2</v>
      </c>
      <c r="E178" s="855">
        <v>0.1</v>
      </c>
      <c r="F178" s="431">
        <v>1</v>
      </c>
      <c r="G178" s="855">
        <v>0.1</v>
      </c>
      <c r="H178" s="1087">
        <v>1</v>
      </c>
      <c r="I178" s="432">
        <v>1</v>
      </c>
    </row>
    <row r="179" spans="1:9" s="460" customFormat="1" x14ac:dyDescent="0.25">
      <c r="A179" s="299"/>
      <c r="B179" s="987">
        <v>0</v>
      </c>
      <c r="C179" s="951">
        <v>0.01</v>
      </c>
      <c r="D179" s="855">
        <v>0.1</v>
      </c>
      <c r="E179" s="433">
        <v>2</v>
      </c>
      <c r="F179" s="794">
        <v>0</v>
      </c>
      <c r="G179" s="431">
        <v>1</v>
      </c>
      <c r="H179" s="1087">
        <v>1</v>
      </c>
      <c r="I179" s="990">
        <f>IF(I125="Worn",1,2)</f>
        <v>1</v>
      </c>
    </row>
    <row r="180" spans="1:9" s="460" customFormat="1" ht="15" customHeight="1" thickBot="1" x14ac:dyDescent="0.3">
      <c r="A180" s="299"/>
      <c r="B180" s="912">
        <v>0.1</v>
      </c>
      <c r="C180" s="913">
        <v>0.1</v>
      </c>
      <c r="D180" s="952">
        <v>0.01</v>
      </c>
      <c r="E180" s="914">
        <v>1</v>
      </c>
      <c r="F180" s="991">
        <v>0.1</v>
      </c>
      <c r="G180" s="992">
        <f>IF(G126="Worn",1,2)</f>
        <v>1</v>
      </c>
      <c r="H180" s="1088">
        <v>2</v>
      </c>
      <c r="I180" s="980">
        <v>0.1</v>
      </c>
    </row>
    <row r="181" spans="1:9" s="31" customFormat="1" ht="15" customHeight="1" x14ac:dyDescent="0.25">
      <c r="A181" s="300"/>
      <c r="B181" s="1322">
        <v>0.1</v>
      </c>
      <c r="C181" s="988">
        <v>0.1</v>
      </c>
      <c r="D181" s="989">
        <f>IF(D127="Worn",1,2)</f>
        <v>1</v>
      </c>
      <c r="E181" s="989">
        <f>IF(E127="Worn",2,3)</f>
        <v>2</v>
      </c>
      <c r="F181" s="429">
        <v>0.1</v>
      </c>
      <c r="G181" s="854">
        <v>1</v>
      </c>
      <c r="H181" s="988">
        <v>0.1</v>
      </c>
      <c r="I181" s="1134">
        <v>1</v>
      </c>
    </row>
    <row r="182" spans="1:9" s="31" customFormat="1" ht="15" customHeight="1" x14ac:dyDescent="0.25">
      <c r="A182" s="299"/>
      <c r="B182" s="987">
        <v>0</v>
      </c>
      <c r="C182" s="855">
        <v>0.1</v>
      </c>
      <c r="D182" s="792">
        <v>1</v>
      </c>
      <c r="E182" s="855">
        <v>0.1</v>
      </c>
      <c r="F182" s="792">
        <v>1</v>
      </c>
      <c r="G182" s="937">
        <v>0.1</v>
      </c>
      <c r="H182" s="1089">
        <v>0.01</v>
      </c>
      <c r="I182" s="432">
        <v>1</v>
      </c>
    </row>
    <row r="183" spans="1:9" s="460" customFormat="1" collapsed="1" x14ac:dyDescent="0.25">
      <c r="A183" s="299"/>
      <c r="B183" s="977">
        <v>0.1</v>
      </c>
      <c r="C183" s="855">
        <v>0.1</v>
      </c>
      <c r="D183" s="855">
        <v>0.1</v>
      </c>
      <c r="E183" s="855">
        <v>0.1</v>
      </c>
      <c r="F183" s="794">
        <v>0</v>
      </c>
      <c r="G183" s="938">
        <v>0</v>
      </c>
      <c r="H183" s="1090">
        <f>IF(H129="Worn",2,3)</f>
        <v>2</v>
      </c>
      <c r="I183" s="793">
        <v>0.1</v>
      </c>
    </row>
    <row r="184" spans="1:9" s="460" customFormat="1" x14ac:dyDescent="0.25">
      <c r="A184" s="299"/>
      <c r="B184" s="987">
        <v>0</v>
      </c>
      <c r="C184" s="855">
        <v>0.1</v>
      </c>
      <c r="D184" s="855">
        <v>0.1</v>
      </c>
      <c r="E184" s="855">
        <v>0.1</v>
      </c>
      <c r="F184" s="855">
        <v>0.1</v>
      </c>
      <c r="G184" s="938">
        <v>0</v>
      </c>
      <c r="H184" s="1087">
        <v>1</v>
      </c>
      <c r="I184" s="856">
        <v>0</v>
      </c>
    </row>
    <row r="185" spans="1:9" s="460" customFormat="1" collapsed="1" x14ac:dyDescent="0.25">
      <c r="A185" s="299"/>
      <c r="B185" s="977">
        <v>0.1</v>
      </c>
      <c r="C185" s="855">
        <v>0.1</v>
      </c>
      <c r="D185" s="855">
        <v>0.1</v>
      </c>
      <c r="E185" s="433">
        <v>2</v>
      </c>
      <c r="F185" s="855">
        <v>0.1</v>
      </c>
      <c r="G185" s="431">
        <v>1</v>
      </c>
      <c r="H185" s="1086">
        <v>0.1</v>
      </c>
      <c r="I185" s="793">
        <v>0.1</v>
      </c>
    </row>
    <row r="186" spans="1:9" s="460" customFormat="1" x14ac:dyDescent="0.25">
      <c r="A186" s="299"/>
      <c r="B186" s="977">
        <v>0.1</v>
      </c>
      <c r="C186" s="855">
        <v>0.1</v>
      </c>
      <c r="D186" s="855">
        <v>0.1</v>
      </c>
      <c r="E186" s="433">
        <v>2</v>
      </c>
      <c r="F186" s="433">
        <v>2</v>
      </c>
      <c r="G186" s="1086">
        <v>0.1</v>
      </c>
      <c r="H186" s="1086">
        <v>0.1</v>
      </c>
      <c r="I186" s="793">
        <v>0.1</v>
      </c>
    </row>
    <row r="187" spans="1:9" s="460" customFormat="1" x14ac:dyDescent="0.25">
      <c r="A187" s="299"/>
      <c r="B187" s="977">
        <v>0.1</v>
      </c>
      <c r="C187" s="855">
        <v>0.1</v>
      </c>
      <c r="D187" s="855">
        <v>0.1</v>
      </c>
      <c r="E187" s="855">
        <v>0.1</v>
      </c>
      <c r="F187" s="855">
        <v>0.1</v>
      </c>
      <c r="G187" s="1326">
        <v>0.1</v>
      </c>
      <c r="H187" s="1086">
        <v>0.1</v>
      </c>
      <c r="I187" s="793">
        <v>0.1</v>
      </c>
    </row>
    <row r="188" spans="1:9" s="460" customFormat="1" x14ac:dyDescent="0.25">
      <c r="A188" s="299"/>
      <c r="B188" s="425"/>
      <c r="C188" s="855">
        <v>0.1</v>
      </c>
      <c r="D188" s="855">
        <v>0.1</v>
      </c>
      <c r="E188" s="855">
        <v>0.1</v>
      </c>
      <c r="F188" s="855">
        <v>0.1</v>
      </c>
      <c r="G188" s="1327">
        <f t="shared" ref="G188" si="2">1/1000</f>
        <v>1E-3</v>
      </c>
      <c r="H188" s="1084">
        <v>0</v>
      </c>
      <c r="I188" s="1126"/>
    </row>
    <row r="189" spans="1:9" s="460" customFormat="1" x14ac:dyDescent="0.25">
      <c r="A189" s="299"/>
      <c r="B189" s="425"/>
      <c r="C189" s="855">
        <v>0.1</v>
      </c>
      <c r="D189" s="855">
        <v>0.1</v>
      </c>
      <c r="E189" s="855">
        <v>0.1</v>
      </c>
      <c r="F189" s="855">
        <v>0.1</v>
      </c>
      <c r="G189" s="855">
        <v>0.1</v>
      </c>
      <c r="H189" s="1084">
        <v>0</v>
      </c>
      <c r="I189" s="1126"/>
    </row>
    <row r="190" spans="1:9" s="460" customFormat="1" x14ac:dyDescent="0.25">
      <c r="A190" s="299"/>
      <c r="B190" s="1135"/>
      <c r="C190" s="855">
        <v>0.1</v>
      </c>
      <c r="D190" s="855">
        <v>0.1</v>
      </c>
      <c r="E190" s="1136"/>
      <c r="F190" s="855">
        <v>0.1</v>
      </c>
      <c r="G190" s="1137"/>
      <c r="H190" s="855">
        <v>0.1</v>
      </c>
      <c r="I190" s="1138"/>
    </row>
    <row r="191" spans="1:9" s="460" customFormat="1" x14ac:dyDescent="0.25">
      <c r="A191" s="299"/>
      <c r="B191" s="425"/>
      <c r="C191" s="792">
        <v>1</v>
      </c>
      <c r="D191" s="370"/>
      <c r="E191" s="370"/>
      <c r="F191" s="855">
        <v>0.1</v>
      </c>
      <c r="G191" s="418"/>
      <c r="H191" s="1084">
        <v>0</v>
      </c>
      <c r="I191" s="90"/>
    </row>
    <row r="192" spans="1:9" s="460" customFormat="1" x14ac:dyDescent="0.25">
      <c r="A192" s="299"/>
      <c r="B192" s="425"/>
      <c r="C192" s="855">
        <v>0.1</v>
      </c>
      <c r="D192" s="370"/>
      <c r="E192" s="370"/>
      <c r="F192" s="794">
        <v>0</v>
      </c>
      <c r="G192" s="418"/>
      <c r="H192" s="855">
        <v>0.1</v>
      </c>
      <c r="I192" s="427"/>
    </row>
    <row r="193" spans="1:9" s="460" customFormat="1" ht="15.75" thickBot="1" x14ac:dyDescent="0.3">
      <c r="A193" s="499"/>
      <c r="B193" s="351"/>
      <c r="C193" s="1323">
        <v>0</v>
      </c>
      <c r="D193" s="396"/>
      <c r="E193" s="353"/>
      <c r="F193" s="913">
        <v>0.1</v>
      </c>
      <c r="G193" s="353"/>
      <c r="H193" s="913">
        <v>0.1</v>
      </c>
      <c r="I193" s="354"/>
    </row>
    <row r="194" spans="1:9" s="460" customFormat="1" x14ac:dyDescent="0.25">
      <c r="A194" s="300"/>
      <c r="B194" s="422"/>
      <c r="C194" s="988">
        <v>0.1</v>
      </c>
      <c r="D194" s="423"/>
      <c r="E194" s="369"/>
      <c r="F194" s="1258">
        <v>1</v>
      </c>
      <c r="G194" s="369"/>
      <c r="H194" s="1258">
        <v>1</v>
      </c>
      <c r="I194" s="424"/>
    </row>
    <row r="195" spans="1:9" s="460" customFormat="1" x14ac:dyDescent="0.25">
      <c r="A195" s="299"/>
      <c r="B195" s="425"/>
      <c r="C195" s="855">
        <v>0.1</v>
      </c>
      <c r="D195" s="426"/>
      <c r="E195" s="370"/>
      <c r="F195" s="370"/>
      <c r="G195" s="370"/>
      <c r="H195" s="855">
        <v>0.1</v>
      </c>
      <c r="I195" s="427"/>
    </row>
    <row r="196" spans="1:9" s="460" customFormat="1" x14ac:dyDescent="0.25">
      <c r="A196" s="299"/>
      <c r="B196" s="425"/>
      <c r="C196" s="792">
        <v>1</v>
      </c>
      <c r="D196" s="426"/>
      <c r="E196" s="370"/>
      <c r="F196" s="370"/>
      <c r="G196" s="370"/>
      <c r="H196" s="1084">
        <v>0</v>
      </c>
      <c r="I196" s="427"/>
    </row>
    <row r="197" spans="1:9" s="460" customFormat="1" x14ac:dyDescent="0.25">
      <c r="A197" s="299"/>
      <c r="B197" s="425"/>
      <c r="C197" s="794">
        <v>0</v>
      </c>
      <c r="D197" s="426"/>
      <c r="E197" s="370"/>
      <c r="F197" s="370"/>
      <c r="G197" s="370"/>
      <c r="H197" s="855">
        <v>0.1</v>
      </c>
      <c r="I197" s="427"/>
    </row>
    <row r="198" spans="1:9" s="460" customFormat="1" x14ac:dyDescent="0.25">
      <c r="A198" s="299"/>
      <c r="B198" s="425"/>
      <c r="C198" s="426"/>
      <c r="D198" s="426"/>
      <c r="E198" s="370"/>
      <c r="F198" s="370"/>
      <c r="G198" s="370"/>
      <c r="H198" s="855">
        <v>0.1</v>
      </c>
      <c r="I198" s="427"/>
    </row>
    <row r="199" spans="1:9" s="460" customFormat="1" x14ac:dyDescent="0.25">
      <c r="A199" s="299"/>
      <c r="B199" s="425"/>
      <c r="C199" s="426"/>
      <c r="D199" s="426"/>
      <c r="E199" s="370"/>
      <c r="F199" s="370"/>
      <c r="G199" s="370"/>
      <c r="H199" s="1089">
        <v>0.01</v>
      </c>
      <c r="I199" s="427"/>
    </row>
    <row r="200" spans="1:9" s="460" customFormat="1" x14ac:dyDescent="0.25">
      <c r="A200" s="299"/>
      <c r="B200" s="425"/>
      <c r="C200" s="426"/>
      <c r="D200" s="426"/>
      <c r="E200" s="370"/>
      <c r="F200" s="370"/>
      <c r="G200" s="370"/>
      <c r="H200" s="855">
        <v>0.1</v>
      </c>
      <c r="I200" s="427"/>
    </row>
    <row r="201" spans="1:9" s="460" customFormat="1" x14ac:dyDescent="0.25">
      <c r="A201" s="299"/>
      <c r="B201" s="425"/>
      <c r="C201" s="426"/>
      <c r="D201" s="426"/>
      <c r="E201" s="370"/>
      <c r="F201" s="370"/>
      <c r="G201" s="370"/>
      <c r="H201" s="855">
        <v>0.1</v>
      </c>
      <c r="I201" s="427"/>
    </row>
    <row r="202" spans="1:9" s="460" customFormat="1" x14ac:dyDescent="0.25">
      <c r="A202" s="299"/>
      <c r="B202" s="425"/>
      <c r="C202" s="426"/>
      <c r="D202" s="426"/>
      <c r="E202" s="370"/>
      <c r="F202" s="370"/>
      <c r="G202" s="370"/>
      <c r="H202" s="855">
        <v>0.1</v>
      </c>
      <c r="I202" s="427"/>
    </row>
    <row r="203" spans="1:9" s="460" customFormat="1" ht="15.75" thickBot="1" x14ac:dyDescent="0.3">
      <c r="A203" s="299"/>
      <c r="B203" s="425"/>
      <c r="C203" s="426"/>
      <c r="D203" s="426"/>
      <c r="E203" s="370"/>
      <c r="F203" s="370"/>
      <c r="G203" s="370"/>
      <c r="H203" s="855">
        <v>0.1</v>
      </c>
      <c r="I203" s="427"/>
    </row>
    <row r="204" spans="1:9" s="460" customFormat="1" hidden="1" outlineLevel="1" x14ac:dyDescent="0.25">
      <c r="A204" s="299"/>
      <c r="B204" s="425"/>
      <c r="C204" s="426"/>
      <c r="D204" s="426"/>
      <c r="E204" s="370"/>
      <c r="F204" s="370"/>
      <c r="G204" s="370"/>
      <c r="H204" s="1076"/>
      <c r="I204" s="427"/>
    </row>
    <row r="205" spans="1:9" s="460" customFormat="1" hidden="1" outlineLevel="1" x14ac:dyDescent="0.25">
      <c r="A205" s="299"/>
      <c r="B205" s="425"/>
      <c r="C205" s="426"/>
      <c r="D205" s="426"/>
      <c r="E205" s="370"/>
      <c r="F205" s="370"/>
      <c r="G205" s="370"/>
      <c r="H205" s="1076"/>
      <c r="I205" s="427"/>
    </row>
    <row r="206" spans="1:9" s="460" customFormat="1" ht="15.75" hidden="1" outlineLevel="1" thickBot="1" x14ac:dyDescent="0.3">
      <c r="A206" s="499"/>
      <c r="B206" s="351"/>
      <c r="C206" s="396"/>
      <c r="D206" s="396"/>
      <c r="E206" s="353"/>
      <c r="F206" s="353"/>
      <c r="G206" s="353"/>
      <c r="H206" s="1077"/>
      <c r="I206" s="354"/>
    </row>
    <row r="207" spans="1:9" s="460" customFormat="1" hidden="1" outlineLevel="1" x14ac:dyDescent="0.25">
      <c r="A207" s="300"/>
      <c r="B207" s="422"/>
      <c r="C207" s="423"/>
      <c r="D207" s="423"/>
      <c r="E207" s="369"/>
      <c r="F207" s="369"/>
      <c r="G207" s="369"/>
      <c r="H207" s="1075"/>
      <c r="I207" s="424"/>
    </row>
    <row r="208" spans="1:9" s="460" customFormat="1" hidden="1" outlineLevel="1" x14ac:dyDescent="0.25">
      <c r="A208" s="299"/>
      <c r="B208" s="425"/>
      <c r="C208" s="426"/>
      <c r="D208" s="426"/>
      <c r="E208" s="370"/>
      <c r="F208" s="370"/>
      <c r="G208" s="370"/>
      <c r="H208" s="1076"/>
      <c r="I208" s="427"/>
    </row>
    <row r="209" spans="1:9" s="460" customFormat="1" hidden="1" outlineLevel="1" x14ac:dyDescent="0.25">
      <c r="A209" s="299"/>
      <c r="B209" s="425"/>
      <c r="C209" s="426"/>
      <c r="D209" s="426"/>
      <c r="E209" s="370"/>
      <c r="F209" s="370"/>
      <c r="G209" s="370"/>
      <c r="H209" s="1076"/>
      <c r="I209" s="427"/>
    </row>
    <row r="210" spans="1:9" s="460" customFormat="1" hidden="1" outlineLevel="1" x14ac:dyDescent="0.25">
      <c r="A210" s="299"/>
      <c r="B210" s="425"/>
      <c r="C210" s="426"/>
      <c r="D210" s="426"/>
      <c r="E210" s="370"/>
      <c r="F210" s="370"/>
      <c r="G210" s="370"/>
      <c r="H210" s="1076"/>
      <c r="I210" s="427"/>
    </row>
    <row r="211" spans="1:9" s="460" customFormat="1" hidden="1" outlineLevel="1" x14ac:dyDescent="0.25">
      <c r="A211" s="299"/>
      <c r="B211" s="425"/>
      <c r="C211" s="426"/>
      <c r="D211" s="426"/>
      <c r="E211" s="370"/>
      <c r="F211" s="370"/>
      <c r="G211" s="370"/>
      <c r="H211" s="1076"/>
      <c r="I211" s="427"/>
    </row>
    <row r="212" spans="1:9" s="460" customFormat="1" hidden="1" outlineLevel="1" x14ac:dyDescent="0.25">
      <c r="A212" s="299"/>
      <c r="B212" s="425"/>
      <c r="C212" s="426"/>
      <c r="D212" s="426"/>
      <c r="E212" s="370"/>
      <c r="F212" s="370"/>
      <c r="G212" s="370"/>
      <c r="H212" s="1076"/>
      <c r="I212" s="427"/>
    </row>
    <row r="213" spans="1:9" s="460" customFormat="1" hidden="1" outlineLevel="1" x14ac:dyDescent="0.25">
      <c r="A213" s="299"/>
      <c r="B213" s="425"/>
      <c r="C213" s="426"/>
      <c r="D213" s="426"/>
      <c r="E213" s="370"/>
      <c r="F213" s="370"/>
      <c r="G213" s="370"/>
      <c r="H213" s="1076"/>
      <c r="I213" s="427"/>
    </row>
    <row r="214" spans="1:9" s="460" customFormat="1" hidden="1" outlineLevel="1" x14ac:dyDescent="0.25">
      <c r="A214" s="299"/>
      <c r="B214" s="425"/>
      <c r="C214" s="426"/>
      <c r="D214" s="426"/>
      <c r="E214" s="370"/>
      <c r="F214" s="370"/>
      <c r="G214" s="370"/>
      <c r="H214" s="1076"/>
      <c r="I214" s="427"/>
    </row>
    <row r="215" spans="1:9" s="460" customFormat="1" hidden="1" outlineLevel="1" x14ac:dyDescent="0.25">
      <c r="A215" s="299"/>
      <c r="B215" s="425"/>
      <c r="C215" s="426"/>
      <c r="D215" s="426"/>
      <c r="E215" s="370"/>
      <c r="F215" s="370"/>
      <c r="G215" s="370"/>
      <c r="H215" s="1076"/>
      <c r="I215" s="427"/>
    </row>
    <row r="216" spans="1:9" s="460" customFormat="1" hidden="1" outlineLevel="1" x14ac:dyDescent="0.25">
      <c r="A216" s="299"/>
      <c r="B216" s="425"/>
      <c r="C216" s="426"/>
      <c r="D216" s="426"/>
      <c r="E216" s="370"/>
      <c r="F216" s="370"/>
      <c r="G216" s="370"/>
      <c r="H216" s="1076"/>
      <c r="I216" s="427"/>
    </row>
    <row r="217" spans="1:9" s="460" customFormat="1" hidden="1" outlineLevel="1" x14ac:dyDescent="0.25">
      <c r="A217" s="299"/>
      <c r="B217" s="425"/>
      <c r="C217" s="426"/>
      <c r="D217" s="426"/>
      <c r="E217" s="370"/>
      <c r="F217" s="370"/>
      <c r="G217" s="370"/>
      <c r="H217" s="1076"/>
      <c r="I217" s="427"/>
    </row>
    <row r="218" spans="1:9" s="460" customFormat="1" hidden="1" outlineLevel="1" x14ac:dyDescent="0.25">
      <c r="A218" s="299"/>
      <c r="B218" s="425"/>
      <c r="C218" s="426"/>
      <c r="D218" s="426"/>
      <c r="E218" s="370"/>
      <c r="F218" s="370"/>
      <c r="G218" s="370"/>
      <c r="H218" s="1076"/>
      <c r="I218" s="427"/>
    </row>
    <row r="219" spans="1:9" s="460" customFormat="1" ht="15.75" hidden="1" outlineLevel="1" thickBot="1" x14ac:dyDescent="0.3">
      <c r="A219" s="499"/>
      <c r="B219" s="351"/>
      <c r="C219" s="396"/>
      <c r="D219" s="396"/>
      <c r="E219" s="353"/>
      <c r="F219" s="353"/>
      <c r="G219" s="353"/>
      <c r="H219" s="1077"/>
      <c r="I219" s="354"/>
    </row>
    <row r="220" spans="1:9" s="130" customFormat="1" ht="15.75" hidden="1" outlineLevel="1" collapsed="1" thickBot="1" x14ac:dyDescent="0.3">
      <c r="A220" s="963"/>
      <c r="B220" s="961"/>
      <c r="C220" s="969"/>
      <c r="D220" s="969"/>
      <c r="E220" s="970"/>
      <c r="F220" s="970"/>
      <c r="G220" s="970"/>
      <c r="H220" s="961"/>
      <c r="I220" s="954"/>
    </row>
    <row r="221" spans="1:9" s="460" customFormat="1" ht="15.75" hidden="1" outlineLevel="1" thickBot="1" x14ac:dyDescent="0.3">
      <c r="A221" s="400" t="s">
        <v>478</v>
      </c>
      <c r="B221" s="993">
        <f>IF(B113="Stowed",IF(SUM(B3:B6)*B167&lt;1,INT(10*SUM(B3:B6)*B167)/10,SUM(B3:B6)*B167),0)</f>
        <v>0.1</v>
      </c>
      <c r="C221" s="994">
        <f t="shared" ref="C221:H221" si="3">IF(C113="Stowed",IF(SUM(C3:C6)*C167&lt;1,INT(10*SUM(C3:C6)*C167)/10,SUM(C3:C6)*C167),0)</f>
        <v>0.1</v>
      </c>
      <c r="D221" s="994">
        <f t="shared" si="3"/>
        <v>0</v>
      </c>
      <c r="E221" s="994">
        <f t="shared" si="3"/>
        <v>0</v>
      </c>
      <c r="F221" s="994">
        <f t="shared" si="3"/>
        <v>0.1</v>
      </c>
      <c r="G221" s="994">
        <f t="shared" si="3"/>
        <v>0</v>
      </c>
      <c r="H221" s="1079">
        <f t="shared" si="3"/>
        <v>0</v>
      </c>
      <c r="I221" s="995">
        <f t="shared" ref="I221" si="4">IF(I113="Stowed",IF(SUM(I3:I6)*I167&lt;1,INT(10*SUM(I3:I6)*I167)/10,SUM(I3:I6)*I167),0)</f>
        <v>0</v>
      </c>
    </row>
    <row r="222" spans="1:9" s="460" customFormat="1" hidden="1" outlineLevel="1" x14ac:dyDescent="0.25">
      <c r="A222" s="958" t="s">
        <v>303</v>
      </c>
      <c r="B222" s="1002">
        <f t="shared" ref="B222:H231" si="5">IF(B115="Stowed",IF(B61*B169&lt;1,INT(10*B61*B169)/10,B61*B169),0)</f>
        <v>0.1</v>
      </c>
      <c r="C222" s="953">
        <f t="shared" si="5"/>
        <v>0.1</v>
      </c>
      <c r="D222" s="953">
        <f t="shared" si="5"/>
        <v>0.1</v>
      </c>
      <c r="E222" s="953">
        <f t="shared" si="5"/>
        <v>0.1</v>
      </c>
      <c r="F222" s="953">
        <f t="shared" si="5"/>
        <v>0.1</v>
      </c>
      <c r="G222" s="953">
        <f t="shared" si="5"/>
        <v>0.1</v>
      </c>
      <c r="H222" s="1091">
        <f t="shared" si="5"/>
        <v>0.1</v>
      </c>
      <c r="I222" s="954">
        <f t="shared" ref="I222" si="6">IF(I115="Stowed",IF(I61*I169&lt;1,INT(10*I61*I169)/10,I61*I169),0)</f>
        <v>0.1</v>
      </c>
    </row>
    <row r="223" spans="1:9" s="460" customFormat="1" hidden="1" outlineLevel="1" x14ac:dyDescent="0.25">
      <c r="A223" s="958" t="s">
        <v>479</v>
      </c>
      <c r="B223" s="1002">
        <f t="shared" si="5"/>
        <v>0</v>
      </c>
      <c r="C223" s="953">
        <f t="shared" si="5"/>
        <v>0</v>
      </c>
      <c r="D223" s="953">
        <f t="shared" si="5"/>
        <v>0</v>
      </c>
      <c r="E223" s="953">
        <f t="shared" si="5"/>
        <v>0</v>
      </c>
      <c r="F223" s="953">
        <f t="shared" si="5"/>
        <v>0</v>
      </c>
      <c r="G223" s="953">
        <f t="shared" si="5"/>
        <v>0</v>
      </c>
      <c r="H223" s="1091">
        <f t="shared" si="5"/>
        <v>0</v>
      </c>
      <c r="I223" s="954">
        <f t="shared" ref="I223" si="7">IF(I116="Stowed",IF(I62*I170&lt;1,INT(10*I62*I170)/10,I62*I170),0)</f>
        <v>0</v>
      </c>
    </row>
    <row r="224" spans="1:9" s="460" customFormat="1" hidden="1" outlineLevel="1" x14ac:dyDescent="0.25">
      <c r="A224" s="958" t="s">
        <v>304</v>
      </c>
      <c r="B224" s="1002">
        <f t="shared" si="5"/>
        <v>0</v>
      </c>
      <c r="C224" s="953">
        <f t="shared" si="5"/>
        <v>0</v>
      </c>
      <c r="D224" s="953">
        <f t="shared" si="5"/>
        <v>0</v>
      </c>
      <c r="E224" s="953">
        <f t="shared" si="5"/>
        <v>0</v>
      </c>
      <c r="F224" s="953">
        <f t="shared" si="5"/>
        <v>0</v>
      </c>
      <c r="G224" s="953">
        <f t="shared" si="5"/>
        <v>0</v>
      </c>
      <c r="H224" s="1091">
        <f t="shared" si="5"/>
        <v>0</v>
      </c>
      <c r="I224" s="954">
        <f t="shared" ref="I224" si="8">IF(I117="Stowed",IF(I63*I171&lt;1,INT(10*I63*I171)/10,I63*I171),0)</f>
        <v>0</v>
      </c>
    </row>
    <row r="225" spans="1:9" s="460" customFormat="1" hidden="1" outlineLevel="1" x14ac:dyDescent="0.25">
      <c r="A225" s="959" t="s">
        <v>480</v>
      </c>
      <c r="B225" s="1002">
        <f t="shared" si="5"/>
        <v>0.4</v>
      </c>
      <c r="C225" s="953">
        <f t="shared" si="5"/>
        <v>0.4</v>
      </c>
      <c r="D225" s="953">
        <f t="shared" si="5"/>
        <v>0.4</v>
      </c>
      <c r="E225" s="953">
        <f t="shared" si="5"/>
        <v>0.4</v>
      </c>
      <c r="F225" s="953">
        <f t="shared" si="5"/>
        <v>0.4</v>
      </c>
      <c r="G225" s="953">
        <f t="shared" si="5"/>
        <v>0.4</v>
      </c>
      <c r="H225" s="1091">
        <f t="shared" si="5"/>
        <v>0.4</v>
      </c>
      <c r="I225" s="954">
        <f t="shared" ref="I225" si="9">IF(I118="Stowed",IF(I64*I172&lt;1,INT(10*I64*I172)/10,I64*I172),0)</f>
        <v>0.4</v>
      </c>
    </row>
    <row r="226" spans="1:9" s="460" customFormat="1" hidden="1" outlineLevel="1" x14ac:dyDescent="0.25">
      <c r="A226" s="958" t="s">
        <v>305</v>
      </c>
      <c r="B226" s="1002">
        <f t="shared" si="5"/>
        <v>0.1</v>
      </c>
      <c r="C226" s="953">
        <f t="shared" si="5"/>
        <v>0.1</v>
      </c>
      <c r="D226" s="953">
        <f t="shared" si="5"/>
        <v>0.1</v>
      </c>
      <c r="E226" s="953">
        <f t="shared" si="5"/>
        <v>0.1</v>
      </c>
      <c r="F226" s="953">
        <f t="shared" si="5"/>
        <v>0.1</v>
      </c>
      <c r="G226" s="953">
        <f t="shared" si="5"/>
        <v>0.1</v>
      </c>
      <c r="H226" s="1091">
        <f t="shared" si="5"/>
        <v>0.1</v>
      </c>
      <c r="I226" s="954">
        <f t="shared" ref="I226" si="10">IF(I119="Stowed",IF(I65*I173&lt;1,INT(10*I65*I173)/10,I65*I173),0)</f>
        <v>0.1</v>
      </c>
    </row>
    <row r="227" spans="1:9" s="460" customFormat="1" hidden="1" outlineLevel="1" x14ac:dyDescent="0.25">
      <c r="A227" s="958" t="s">
        <v>306</v>
      </c>
      <c r="B227" s="1002">
        <f t="shared" si="5"/>
        <v>0</v>
      </c>
      <c r="C227" s="953">
        <f t="shared" si="5"/>
        <v>0</v>
      </c>
      <c r="D227" s="953">
        <f t="shared" si="5"/>
        <v>0</v>
      </c>
      <c r="E227" s="953">
        <f t="shared" si="5"/>
        <v>0</v>
      </c>
      <c r="F227" s="953">
        <f t="shared" si="5"/>
        <v>0</v>
      </c>
      <c r="G227" s="953">
        <f t="shared" si="5"/>
        <v>0</v>
      </c>
      <c r="H227" s="1091">
        <f t="shared" si="5"/>
        <v>0</v>
      </c>
      <c r="I227" s="954">
        <f t="shared" ref="I227" si="11">IF(I120="Stowed",IF(I66*I174&lt;1,INT(10*I66*I174)/10,I66*I174),0)</f>
        <v>0</v>
      </c>
    </row>
    <row r="228" spans="1:9" s="460" customFormat="1" hidden="1" outlineLevel="1" x14ac:dyDescent="0.25">
      <c r="A228" s="959" t="s">
        <v>485</v>
      </c>
      <c r="B228" s="1002">
        <f t="shared" si="5"/>
        <v>0.5</v>
      </c>
      <c r="C228" s="953">
        <f t="shared" si="5"/>
        <v>0.5</v>
      </c>
      <c r="D228" s="953">
        <f t="shared" si="5"/>
        <v>0.5</v>
      </c>
      <c r="E228" s="953">
        <f t="shared" si="5"/>
        <v>0.5</v>
      </c>
      <c r="F228" s="953">
        <f t="shared" si="5"/>
        <v>0.5</v>
      </c>
      <c r="G228" s="953">
        <f t="shared" si="5"/>
        <v>0.5</v>
      </c>
      <c r="H228" s="1091">
        <f t="shared" si="5"/>
        <v>0.5</v>
      </c>
      <c r="I228" s="954">
        <f t="shared" ref="I228" si="12">IF(I121="Stowed",IF(I67*I175&lt;1,INT(10*I67*I175)/10,I67*I175),0)</f>
        <v>0.5</v>
      </c>
    </row>
    <row r="229" spans="1:9" s="460" customFormat="1" ht="15.75" hidden="1" outlineLevel="1" thickBot="1" x14ac:dyDescent="0.3">
      <c r="A229" s="960" t="s">
        <v>307</v>
      </c>
      <c r="B229" s="1003">
        <f t="shared" si="5"/>
        <v>0.1</v>
      </c>
      <c r="C229" s="416">
        <f t="shared" si="5"/>
        <v>0.1</v>
      </c>
      <c r="D229" s="416">
        <f t="shared" si="5"/>
        <v>0.1</v>
      </c>
      <c r="E229" s="416">
        <f t="shared" si="5"/>
        <v>0.1</v>
      </c>
      <c r="F229" s="416">
        <f t="shared" si="5"/>
        <v>0.1</v>
      </c>
      <c r="G229" s="416">
        <f t="shared" si="5"/>
        <v>0.1</v>
      </c>
      <c r="H229" s="1092">
        <f t="shared" si="5"/>
        <v>0.1</v>
      </c>
      <c r="I229" s="417">
        <f t="shared" ref="I229" si="13">IF(I122="Stowed",IF(I68*I176&lt;1,INT(10*I68*I176)/10,I68*I176),0)</f>
        <v>0.1</v>
      </c>
    </row>
    <row r="230" spans="1:9" s="460" customFormat="1" hidden="1" outlineLevel="1" x14ac:dyDescent="0.25">
      <c r="A230" s="300" t="s">
        <v>279</v>
      </c>
      <c r="B230" s="356">
        <f t="shared" si="5"/>
        <v>0</v>
      </c>
      <c r="C230" s="356">
        <f t="shared" si="5"/>
        <v>0</v>
      </c>
      <c r="D230" s="356">
        <f t="shared" si="5"/>
        <v>0</v>
      </c>
      <c r="E230" s="356">
        <f t="shared" si="5"/>
        <v>0</v>
      </c>
      <c r="F230" s="356">
        <f t="shared" si="5"/>
        <v>0</v>
      </c>
      <c r="G230" s="356">
        <f t="shared" si="5"/>
        <v>0</v>
      </c>
      <c r="H230" s="1063">
        <f t="shared" si="5"/>
        <v>0.1</v>
      </c>
      <c r="I230" s="358">
        <f t="shared" ref="I230" si="14">IF(I123="Stowed",IF(I69*I177&lt;1,INT(10*I69*I177)/10,I69*I177),0)</f>
        <v>0</v>
      </c>
    </row>
    <row r="231" spans="1:9" s="460" customFormat="1" hidden="1" outlineLevel="1" x14ac:dyDescent="0.25">
      <c r="A231" s="299" t="s">
        <v>828</v>
      </c>
      <c r="B231" s="953">
        <f t="shared" si="5"/>
        <v>0</v>
      </c>
      <c r="C231" s="953">
        <f t="shared" si="5"/>
        <v>0</v>
      </c>
      <c r="D231" s="953">
        <f t="shared" si="5"/>
        <v>0</v>
      </c>
      <c r="E231" s="953">
        <f t="shared" si="5"/>
        <v>0</v>
      </c>
      <c r="F231" s="953">
        <f t="shared" si="5"/>
        <v>0</v>
      </c>
      <c r="G231" s="953">
        <f t="shared" si="5"/>
        <v>0</v>
      </c>
      <c r="H231" s="1091">
        <f t="shared" si="5"/>
        <v>0</v>
      </c>
      <c r="I231" s="954">
        <f t="shared" ref="I231" si="15">IF(I124="Stowed",IF(I70*I178&lt;1,INT(10*I70*I178)/10,I70*I178),0)</f>
        <v>0</v>
      </c>
    </row>
    <row r="232" spans="1:9" s="460" customFormat="1" hidden="1" outlineLevel="1" x14ac:dyDescent="0.25">
      <c r="A232" s="299"/>
      <c r="B232" s="953">
        <f t="shared" ref="B232:H241" si="16">IF(B125="Stowed",IF(B71*B179&lt;1,INT(10*B71*B179)/10,B71*B179),0)</f>
        <v>0</v>
      </c>
      <c r="C232" s="953">
        <f t="shared" si="16"/>
        <v>0</v>
      </c>
      <c r="D232" s="953">
        <f t="shared" si="16"/>
        <v>0</v>
      </c>
      <c r="E232" s="953">
        <f t="shared" si="16"/>
        <v>0</v>
      </c>
      <c r="F232" s="953">
        <f t="shared" si="16"/>
        <v>0</v>
      </c>
      <c r="G232" s="953">
        <f t="shared" si="16"/>
        <v>0</v>
      </c>
      <c r="H232" s="1091">
        <f t="shared" si="16"/>
        <v>0</v>
      </c>
      <c r="I232" s="954">
        <f t="shared" ref="I232" si="17">IF(I125="Stowed",IF(I71*I179&lt;1,INT(10*I71*I179)/10,I71*I179),0)</f>
        <v>0</v>
      </c>
    </row>
    <row r="233" spans="1:9" s="460" customFormat="1" ht="15" hidden="1" customHeight="1" outlineLevel="1" thickBot="1" x14ac:dyDescent="0.3">
      <c r="A233" s="299"/>
      <c r="B233" s="416">
        <f t="shared" si="16"/>
        <v>0</v>
      </c>
      <c r="C233" s="416">
        <f t="shared" si="16"/>
        <v>0</v>
      </c>
      <c r="D233" s="416">
        <f t="shared" si="16"/>
        <v>0</v>
      </c>
      <c r="E233" s="416">
        <f t="shared" si="16"/>
        <v>1</v>
      </c>
      <c r="F233" s="416">
        <f t="shared" si="16"/>
        <v>0</v>
      </c>
      <c r="G233" s="416">
        <f t="shared" si="16"/>
        <v>0</v>
      </c>
      <c r="H233" s="1092">
        <f t="shared" si="16"/>
        <v>0</v>
      </c>
      <c r="I233" s="417">
        <f t="shared" ref="I233" si="18">IF(I126="Stowed",IF(I72*I180&lt;1,INT(10*I72*I180)/10,I72*I180),0)</f>
        <v>0</v>
      </c>
    </row>
    <row r="234" spans="1:9" s="31" customFormat="1" ht="15" hidden="1" customHeight="1" outlineLevel="1" x14ac:dyDescent="0.25">
      <c r="A234" s="300"/>
      <c r="B234" s="356">
        <f t="shared" si="16"/>
        <v>0</v>
      </c>
      <c r="C234" s="356">
        <f t="shared" si="16"/>
        <v>0.1</v>
      </c>
      <c r="D234" s="356">
        <f t="shared" si="16"/>
        <v>0</v>
      </c>
      <c r="E234" s="356">
        <f t="shared" si="16"/>
        <v>0</v>
      </c>
      <c r="F234" s="356">
        <f t="shared" si="16"/>
        <v>0</v>
      </c>
      <c r="G234" s="356">
        <f t="shared" si="16"/>
        <v>1</v>
      </c>
      <c r="H234" s="1063">
        <f t="shared" si="16"/>
        <v>0.1</v>
      </c>
      <c r="I234" s="358">
        <f t="shared" ref="I234" si="19">IF(I127="Stowed",IF(I73*I181&lt;1,INT(10*I73*I181)/10,I73*I181),0)</f>
        <v>1</v>
      </c>
    </row>
    <row r="235" spans="1:9" s="31" customFormat="1" ht="15" hidden="1" customHeight="1" outlineLevel="1" x14ac:dyDescent="0.25">
      <c r="A235" s="299"/>
      <c r="B235" s="953">
        <f t="shared" si="16"/>
        <v>0</v>
      </c>
      <c r="C235" s="953">
        <f t="shared" si="16"/>
        <v>0</v>
      </c>
      <c r="D235" s="953">
        <f t="shared" si="16"/>
        <v>0</v>
      </c>
      <c r="E235" s="953">
        <f t="shared" si="16"/>
        <v>0.1</v>
      </c>
      <c r="F235" s="953">
        <f t="shared" si="16"/>
        <v>0</v>
      </c>
      <c r="G235" s="953">
        <f t="shared" si="16"/>
        <v>0</v>
      </c>
      <c r="H235" s="1091">
        <f t="shared" si="16"/>
        <v>0</v>
      </c>
      <c r="I235" s="954">
        <f t="shared" ref="I235" si="20">IF(I128="Stowed",IF(I74*I182&lt;1,INT(10*I74*I182)/10,I74*I182),0)</f>
        <v>1</v>
      </c>
    </row>
    <row r="236" spans="1:9" s="460" customFormat="1" hidden="1" outlineLevel="1" collapsed="1" x14ac:dyDescent="0.25">
      <c r="A236" s="299"/>
      <c r="B236" s="953">
        <f t="shared" si="16"/>
        <v>0.1</v>
      </c>
      <c r="C236" s="953">
        <f t="shared" si="16"/>
        <v>0</v>
      </c>
      <c r="D236" s="953">
        <f t="shared" si="16"/>
        <v>0</v>
      </c>
      <c r="E236" s="953">
        <f t="shared" si="16"/>
        <v>0</v>
      </c>
      <c r="F236" s="953">
        <f t="shared" si="16"/>
        <v>0</v>
      </c>
      <c r="G236" s="953">
        <f t="shared" si="16"/>
        <v>0</v>
      </c>
      <c r="H236" s="1091">
        <f t="shared" si="16"/>
        <v>0</v>
      </c>
      <c r="I236" s="954">
        <f t="shared" ref="I236" si="21">IF(I129="Stowed",IF(I75*I183&lt;1,INT(10*I75*I183)/10,I75*I183),0)</f>
        <v>0</v>
      </c>
    </row>
    <row r="237" spans="1:9" s="460" customFormat="1" hidden="1" outlineLevel="1" x14ac:dyDescent="0.25">
      <c r="A237" s="299"/>
      <c r="B237" s="953">
        <f t="shared" si="16"/>
        <v>0</v>
      </c>
      <c r="C237" s="953">
        <f t="shared" si="16"/>
        <v>0.1</v>
      </c>
      <c r="D237" s="953">
        <f t="shared" si="16"/>
        <v>0</v>
      </c>
      <c r="E237" s="953">
        <f t="shared" si="16"/>
        <v>0</v>
      </c>
      <c r="F237" s="953">
        <f t="shared" si="16"/>
        <v>0</v>
      </c>
      <c r="G237" s="953">
        <f t="shared" si="16"/>
        <v>0</v>
      </c>
      <c r="H237" s="1091">
        <f t="shared" si="16"/>
        <v>0</v>
      </c>
      <c r="I237" s="954">
        <f t="shared" ref="I237" si="22">IF(I130="Stowed",IF(I76*I184&lt;1,INT(10*I76*I184)/10,I76*I184),0)</f>
        <v>0</v>
      </c>
    </row>
    <row r="238" spans="1:9" s="460" customFormat="1" hidden="1" outlineLevel="1" collapsed="1" x14ac:dyDescent="0.25">
      <c r="A238" s="299"/>
      <c r="B238" s="953">
        <f t="shared" si="16"/>
        <v>0.1</v>
      </c>
      <c r="C238" s="953">
        <f t="shared" si="16"/>
        <v>0</v>
      </c>
      <c r="D238" s="953">
        <f t="shared" si="16"/>
        <v>0</v>
      </c>
      <c r="E238" s="953">
        <f t="shared" si="16"/>
        <v>0</v>
      </c>
      <c r="F238" s="953">
        <f t="shared" si="16"/>
        <v>0</v>
      </c>
      <c r="G238" s="953">
        <f t="shared" si="16"/>
        <v>1</v>
      </c>
      <c r="H238" s="1091">
        <f t="shared" si="16"/>
        <v>0.1</v>
      </c>
      <c r="I238" s="954">
        <f t="shared" ref="I238" si="23">IF(I131="Stowed",IF(I77*I185&lt;1,INT(10*I77*I185)/10,I77*I185),0)</f>
        <v>0</v>
      </c>
    </row>
    <row r="239" spans="1:9" s="460" customFormat="1" hidden="1" outlineLevel="1" x14ac:dyDescent="0.25">
      <c r="A239" s="299"/>
      <c r="B239" s="953">
        <f t="shared" si="16"/>
        <v>0</v>
      </c>
      <c r="C239" s="953">
        <f t="shared" si="16"/>
        <v>0</v>
      </c>
      <c r="D239" s="953">
        <f t="shared" si="16"/>
        <v>0</v>
      </c>
      <c r="E239" s="953">
        <f t="shared" si="16"/>
        <v>0</v>
      </c>
      <c r="F239" s="953">
        <f t="shared" si="16"/>
        <v>2</v>
      </c>
      <c r="G239" s="953">
        <f t="shared" si="16"/>
        <v>0</v>
      </c>
      <c r="H239" s="1091">
        <f t="shared" si="16"/>
        <v>0.3</v>
      </c>
      <c r="I239" s="954">
        <f t="shared" ref="I239" si="24">IF(I132="Stowed",IF(I78*I186&lt;1,INT(10*I78*I186)/10,I78*I186),0)</f>
        <v>0.1</v>
      </c>
    </row>
    <row r="240" spans="1:9" s="460" customFormat="1" hidden="1" outlineLevel="1" x14ac:dyDescent="0.25">
      <c r="A240" s="299"/>
      <c r="B240" s="953">
        <f t="shared" si="16"/>
        <v>0</v>
      </c>
      <c r="C240" s="953">
        <f t="shared" si="16"/>
        <v>0</v>
      </c>
      <c r="D240" s="953">
        <f t="shared" si="16"/>
        <v>0.1</v>
      </c>
      <c r="E240" s="953">
        <f t="shared" si="16"/>
        <v>0.1</v>
      </c>
      <c r="F240" s="953">
        <f t="shared" si="16"/>
        <v>0</v>
      </c>
      <c r="G240" s="953">
        <f t="shared" si="16"/>
        <v>0.1</v>
      </c>
      <c r="H240" s="1091">
        <f t="shared" si="16"/>
        <v>0</v>
      </c>
      <c r="I240" s="954">
        <f t="shared" ref="I240" si="25">IF(I133="Stowed",IF(I79*I187&lt;1,INT(10*I79*I187)/10,I79*I187),0)</f>
        <v>0</v>
      </c>
    </row>
    <row r="241" spans="1:9" s="460" customFormat="1" hidden="1" outlineLevel="1" x14ac:dyDescent="0.25">
      <c r="A241" s="299"/>
      <c r="B241" s="953">
        <f t="shared" si="16"/>
        <v>0</v>
      </c>
      <c r="C241" s="953">
        <f t="shared" si="16"/>
        <v>0</v>
      </c>
      <c r="D241" s="953">
        <f t="shared" si="16"/>
        <v>0</v>
      </c>
      <c r="E241" s="953">
        <f t="shared" si="16"/>
        <v>0</v>
      </c>
      <c r="F241" s="953">
        <f>IF(F134="Stowed",IF(F80*F188&lt;1,INT(10*F80*F188)/10,F80*F188),0)</f>
        <v>0</v>
      </c>
      <c r="G241" s="953">
        <f t="shared" si="16"/>
        <v>0</v>
      </c>
      <c r="H241" s="1091">
        <f t="shared" si="16"/>
        <v>0</v>
      </c>
      <c r="I241" s="954">
        <f t="shared" ref="I241" si="26">IF(I134="Stowed",IF(I80*I188&lt;1,INT(10*I80*I188)/10,I80*I188),0)</f>
        <v>0</v>
      </c>
    </row>
    <row r="242" spans="1:9" s="460" customFormat="1" hidden="1" outlineLevel="1" x14ac:dyDescent="0.25">
      <c r="A242" s="299"/>
      <c r="B242" s="953">
        <f t="shared" ref="B242:G251" si="27">IF(B135="Stowed",IF(B81*B189&lt;1,INT(10*B81*B189)/10,B81*B189),0)</f>
        <v>0</v>
      </c>
      <c r="C242" s="953">
        <f t="shared" si="27"/>
        <v>0</v>
      </c>
      <c r="D242" s="953">
        <f t="shared" si="27"/>
        <v>0</v>
      </c>
      <c r="E242" s="953">
        <f t="shared" si="27"/>
        <v>0</v>
      </c>
      <c r="F242" s="953">
        <f t="shared" si="27"/>
        <v>0.1</v>
      </c>
      <c r="G242" s="953">
        <f t="shared" si="27"/>
        <v>0</v>
      </c>
      <c r="H242" s="953">
        <f t="shared" ref="H242" si="28">IF(H135="Stowed",IF(H81*H189&lt;1,INT(10*H81*H189)/10,H81*H189),0)</f>
        <v>0</v>
      </c>
      <c r="I242" s="954">
        <f t="shared" ref="I242" si="29">IF(I135="Stowed",IF(I81*I189&lt;1,INT(10*I81*I189)/10,I81*I189),0)</f>
        <v>0</v>
      </c>
    </row>
    <row r="243" spans="1:9" s="460" customFormat="1" hidden="1" outlineLevel="1" x14ac:dyDescent="0.25">
      <c r="A243" s="299"/>
      <c r="B243" s="953">
        <f t="shared" si="27"/>
        <v>0</v>
      </c>
      <c r="C243" s="953">
        <f t="shared" si="27"/>
        <v>0</v>
      </c>
      <c r="D243" s="953">
        <f t="shared" si="27"/>
        <v>0</v>
      </c>
      <c r="E243" s="953">
        <f t="shared" si="27"/>
        <v>0</v>
      </c>
      <c r="F243" s="953">
        <f t="shared" si="27"/>
        <v>0</v>
      </c>
      <c r="G243" s="953">
        <f t="shared" si="27"/>
        <v>0</v>
      </c>
      <c r="H243" s="953">
        <f t="shared" ref="H243" si="30">IF(H136="Stowed",IF(H82*H190&lt;1,INT(10*H82*H190)/10,H82*H190),0)</f>
        <v>0</v>
      </c>
      <c r="I243" s="954">
        <f t="shared" ref="I243" si="31">IF(I136="Stowed",IF(I82*I190&lt;1,INT(10*I82*I190)/10,I82*I190),0)</f>
        <v>0</v>
      </c>
    </row>
    <row r="244" spans="1:9" s="460" customFormat="1" hidden="1" outlineLevel="1" x14ac:dyDescent="0.25">
      <c r="A244" s="299"/>
      <c r="B244" s="953">
        <f t="shared" si="27"/>
        <v>0</v>
      </c>
      <c r="C244" s="953">
        <f t="shared" si="27"/>
        <v>1</v>
      </c>
      <c r="D244" s="953">
        <f t="shared" si="27"/>
        <v>0</v>
      </c>
      <c r="E244" s="953">
        <f t="shared" si="27"/>
        <v>0</v>
      </c>
      <c r="F244" s="953">
        <f t="shared" si="27"/>
        <v>0</v>
      </c>
      <c r="G244" s="953">
        <f t="shared" si="27"/>
        <v>0</v>
      </c>
      <c r="H244" s="953">
        <f t="shared" ref="H244" si="32">IF(H137="Stowed",IF(H83*H191&lt;1,INT(10*H83*H191)/10,H83*H191),0)</f>
        <v>0</v>
      </c>
      <c r="I244" s="954">
        <f t="shared" ref="I244" si="33">IF(I137="Stowed",IF(I83*I191&lt;1,INT(10*I83*I191)/10,I83*I191),0)</f>
        <v>0</v>
      </c>
    </row>
    <row r="245" spans="1:9" s="460" customFormat="1" hidden="1" outlineLevel="1" x14ac:dyDescent="0.25">
      <c r="A245" s="299"/>
      <c r="B245" s="953">
        <f t="shared" si="27"/>
        <v>0</v>
      </c>
      <c r="C245" s="953">
        <f t="shared" si="27"/>
        <v>0.1</v>
      </c>
      <c r="D245" s="953">
        <f t="shared" si="27"/>
        <v>0</v>
      </c>
      <c r="E245" s="953">
        <f t="shared" si="27"/>
        <v>0</v>
      </c>
      <c r="F245" s="953">
        <f t="shared" si="27"/>
        <v>0</v>
      </c>
      <c r="G245" s="953">
        <f t="shared" si="27"/>
        <v>0</v>
      </c>
      <c r="H245" s="953">
        <f t="shared" ref="H245" si="34">IF(H138="Stowed",IF(H84*H192&lt;1,INT(10*H84*H192)/10,H84*H192),0)</f>
        <v>0</v>
      </c>
      <c r="I245" s="954">
        <f t="shared" ref="I245" si="35">IF(I138="Stowed",IF(I84*I192&lt;1,INT(10*I84*I192)/10,I84*I192),0)</f>
        <v>0</v>
      </c>
    </row>
    <row r="246" spans="1:9" s="460" customFormat="1" ht="15.75" hidden="1" outlineLevel="1" thickBot="1" x14ac:dyDescent="0.3">
      <c r="A246" s="499"/>
      <c r="B246" s="416">
        <f t="shared" si="27"/>
        <v>0</v>
      </c>
      <c r="C246" s="416">
        <f t="shared" si="27"/>
        <v>0</v>
      </c>
      <c r="D246" s="416">
        <f t="shared" si="27"/>
        <v>0</v>
      </c>
      <c r="E246" s="416">
        <f t="shared" si="27"/>
        <v>0</v>
      </c>
      <c r="F246" s="416">
        <f t="shared" si="27"/>
        <v>0</v>
      </c>
      <c r="G246" s="416">
        <f t="shared" si="27"/>
        <v>0</v>
      </c>
      <c r="H246" s="416">
        <f t="shared" ref="H246" si="36">IF(H139="Stowed",IF(H85*H193&lt;1,INT(10*H85*H193)/10,H85*H193),0)</f>
        <v>0</v>
      </c>
      <c r="I246" s="417">
        <f t="shared" ref="I246" si="37">IF(I139="Stowed",IF(I85*I193&lt;1,INT(10*I85*I193)/10,I85*I193),0)</f>
        <v>0</v>
      </c>
    </row>
    <row r="247" spans="1:9" s="460" customFormat="1" hidden="1" outlineLevel="1" x14ac:dyDescent="0.25">
      <c r="A247" s="300"/>
      <c r="B247" s="356">
        <f t="shared" si="27"/>
        <v>0</v>
      </c>
      <c r="C247" s="356">
        <f t="shared" si="27"/>
        <v>0</v>
      </c>
      <c r="D247" s="356">
        <f t="shared" si="27"/>
        <v>0</v>
      </c>
      <c r="E247" s="356">
        <f t="shared" si="27"/>
        <v>0</v>
      </c>
      <c r="F247" s="356">
        <f t="shared" si="27"/>
        <v>0</v>
      </c>
      <c r="G247" s="356">
        <f t="shared" si="27"/>
        <v>0</v>
      </c>
      <c r="H247" s="356">
        <f t="shared" ref="H247" si="38">IF(H140="Stowed",IF(H86*H194&lt;1,INT(10*H86*H194)/10,H86*H194),0)</f>
        <v>0</v>
      </c>
      <c r="I247" s="358">
        <f t="shared" ref="I247" si="39">IF(I140="Stowed",IF(I86*I194&lt;1,INT(10*I86*I194)/10,I86*I194),0)</f>
        <v>0</v>
      </c>
    </row>
    <row r="248" spans="1:9" s="460" customFormat="1" hidden="1" outlineLevel="1" x14ac:dyDescent="0.25">
      <c r="A248" s="299"/>
      <c r="B248" s="953">
        <f t="shared" si="27"/>
        <v>0</v>
      </c>
      <c r="C248" s="953">
        <f t="shared" si="27"/>
        <v>0</v>
      </c>
      <c r="D248" s="953">
        <f t="shared" si="27"/>
        <v>0</v>
      </c>
      <c r="E248" s="953">
        <f t="shared" si="27"/>
        <v>0</v>
      </c>
      <c r="F248" s="953">
        <f t="shared" si="27"/>
        <v>0</v>
      </c>
      <c r="G248" s="953">
        <f t="shared" si="27"/>
        <v>0</v>
      </c>
      <c r="H248" s="953">
        <f t="shared" ref="H248" si="40">IF(H141="Stowed",IF(H87*H195&lt;1,INT(10*H87*H195)/10,H87*H195),0)</f>
        <v>0.1</v>
      </c>
      <c r="I248" s="954">
        <f t="shared" ref="I248" si="41">IF(I141="Stowed",IF(I87*I195&lt;1,INT(10*I87*I195)/10,I87*I195),0)</f>
        <v>0</v>
      </c>
    </row>
    <row r="249" spans="1:9" s="460" customFormat="1" hidden="1" outlineLevel="1" x14ac:dyDescent="0.25">
      <c r="A249" s="299"/>
      <c r="B249" s="953">
        <f t="shared" si="27"/>
        <v>0</v>
      </c>
      <c r="C249" s="953">
        <f t="shared" si="27"/>
        <v>0</v>
      </c>
      <c r="D249" s="953">
        <f t="shared" si="27"/>
        <v>0</v>
      </c>
      <c r="E249" s="953">
        <f t="shared" si="27"/>
        <v>0</v>
      </c>
      <c r="F249" s="953">
        <f t="shared" si="27"/>
        <v>0</v>
      </c>
      <c r="G249" s="953">
        <f t="shared" si="27"/>
        <v>0</v>
      </c>
      <c r="H249" s="953">
        <f t="shared" ref="H249" si="42">IF(H142="Stowed",IF(H88*H196&lt;1,INT(10*H88*H196)/10,H88*H196),0)</f>
        <v>0</v>
      </c>
      <c r="I249" s="954">
        <f t="shared" ref="I249" si="43">IF(I142="Stowed",IF(I88*I196&lt;1,INT(10*I88*I196)/10,I88*I196),0)</f>
        <v>0</v>
      </c>
    </row>
    <row r="250" spans="1:9" s="460" customFormat="1" hidden="1" outlineLevel="1" x14ac:dyDescent="0.25">
      <c r="A250" s="299"/>
      <c r="B250" s="953">
        <f t="shared" si="27"/>
        <v>0</v>
      </c>
      <c r="C250" s="953">
        <f t="shared" si="27"/>
        <v>0</v>
      </c>
      <c r="D250" s="953">
        <f t="shared" si="27"/>
        <v>0</v>
      </c>
      <c r="E250" s="953">
        <f t="shared" si="27"/>
        <v>0</v>
      </c>
      <c r="F250" s="953">
        <f t="shared" si="27"/>
        <v>0</v>
      </c>
      <c r="G250" s="953">
        <f t="shared" si="27"/>
        <v>0</v>
      </c>
      <c r="H250" s="953">
        <f t="shared" ref="H250" si="44">IF(H143="Stowed",IF(H89*H197&lt;1,INT(10*H89*H197)/10,H89*H197),0)</f>
        <v>0.1</v>
      </c>
      <c r="I250" s="954">
        <f t="shared" ref="I250" si="45">IF(I143="Stowed",IF(I89*I197&lt;1,INT(10*I89*I197)/10,I89*I197),0)</f>
        <v>0</v>
      </c>
    </row>
    <row r="251" spans="1:9" s="460" customFormat="1" hidden="1" outlineLevel="1" x14ac:dyDescent="0.25">
      <c r="A251" s="299"/>
      <c r="B251" s="953">
        <f t="shared" si="27"/>
        <v>0</v>
      </c>
      <c r="C251" s="953">
        <f t="shared" si="27"/>
        <v>0</v>
      </c>
      <c r="D251" s="953">
        <f t="shared" si="27"/>
        <v>0</v>
      </c>
      <c r="E251" s="953">
        <f t="shared" si="27"/>
        <v>0</v>
      </c>
      <c r="F251" s="953">
        <f t="shared" si="27"/>
        <v>0</v>
      </c>
      <c r="G251" s="953">
        <f t="shared" si="27"/>
        <v>0</v>
      </c>
      <c r="H251" s="953">
        <f t="shared" ref="H251" si="46">IF(H144="Stowed",IF(H90*H198&lt;1,INT(10*H90*H198)/10,H90*H198),0)</f>
        <v>0.1</v>
      </c>
      <c r="I251" s="954">
        <f t="shared" ref="I251" si="47">IF(I144="Stowed",IF(I90*I198&lt;1,INT(10*I90*I198)/10,I90*I198),0)</f>
        <v>0</v>
      </c>
    </row>
    <row r="252" spans="1:9" s="460" customFormat="1" hidden="1" outlineLevel="1" x14ac:dyDescent="0.25">
      <c r="A252" s="299"/>
      <c r="B252" s="953">
        <f t="shared" ref="B252:H261" si="48">IF(B145="Stowed",IF(B91*B199&lt;1,INT(10*B91*B199)/10,B91*B199),0)</f>
        <v>0</v>
      </c>
      <c r="C252" s="953">
        <f t="shared" si="48"/>
        <v>0</v>
      </c>
      <c r="D252" s="953">
        <f t="shared" si="48"/>
        <v>0</v>
      </c>
      <c r="E252" s="953">
        <f t="shared" si="48"/>
        <v>0</v>
      </c>
      <c r="F252" s="953">
        <f t="shared" si="48"/>
        <v>0</v>
      </c>
      <c r="G252" s="953">
        <f t="shared" si="48"/>
        <v>0</v>
      </c>
      <c r="H252" s="953">
        <f t="shared" ref="H252" si="49">IF(H145="Stowed",IF(H91*H199&lt;1,INT(10*H91*H199)/10,H91*H199),0)</f>
        <v>0</v>
      </c>
      <c r="I252" s="954">
        <f t="shared" ref="I252" si="50">IF(I145="Stowed",IF(I91*I199&lt;1,INT(10*I91*I199)/10,I91*I199),0)</f>
        <v>0</v>
      </c>
    </row>
    <row r="253" spans="1:9" s="460" customFormat="1" hidden="1" outlineLevel="1" x14ac:dyDescent="0.25">
      <c r="A253" s="299"/>
      <c r="B253" s="953">
        <f t="shared" si="48"/>
        <v>0</v>
      </c>
      <c r="C253" s="953">
        <f t="shared" si="48"/>
        <v>0</v>
      </c>
      <c r="D253" s="953">
        <f t="shared" si="48"/>
        <v>0</v>
      </c>
      <c r="E253" s="953">
        <f t="shared" si="48"/>
        <v>0</v>
      </c>
      <c r="F253" s="953">
        <f t="shared" si="48"/>
        <v>0</v>
      </c>
      <c r="G253" s="953">
        <f t="shared" si="48"/>
        <v>0</v>
      </c>
      <c r="H253" s="953">
        <f t="shared" ref="H253" si="51">IF(H146="Stowed",IF(H92*H200&lt;1,INT(10*H92*H200)/10,H92*H200),0)</f>
        <v>0.4</v>
      </c>
      <c r="I253" s="954">
        <f t="shared" ref="I253" si="52">IF(I146="Stowed",IF(I92*I200&lt;1,INT(10*I92*I200)/10,I92*I200),0)</f>
        <v>0</v>
      </c>
    </row>
    <row r="254" spans="1:9" s="460" customFormat="1" hidden="1" outlineLevel="1" x14ac:dyDescent="0.25">
      <c r="A254" s="299"/>
      <c r="B254" s="953">
        <f t="shared" si="48"/>
        <v>0</v>
      </c>
      <c r="C254" s="953">
        <f t="shared" si="48"/>
        <v>0</v>
      </c>
      <c r="D254" s="953">
        <f t="shared" si="48"/>
        <v>0</v>
      </c>
      <c r="E254" s="953">
        <f t="shared" si="48"/>
        <v>0</v>
      </c>
      <c r="F254" s="953">
        <f t="shared" si="48"/>
        <v>0</v>
      </c>
      <c r="G254" s="953">
        <f t="shared" si="48"/>
        <v>0</v>
      </c>
      <c r="H254" s="1091">
        <f t="shared" si="48"/>
        <v>0.4</v>
      </c>
      <c r="I254" s="954">
        <f t="shared" ref="I254" si="53">IF(I147="Stowed",IF(I93*I201&lt;1,INT(10*I93*I201)/10,I93*I201),0)</f>
        <v>0</v>
      </c>
    </row>
    <row r="255" spans="1:9" s="460" customFormat="1" hidden="1" outlineLevel="1" x14ac:dyDescent="0.25">
      <c r="A255" s="299"/>
      <c r="B255" s="953">
        <f t="shared" si="48"/>
        <v>0</v>
      </c>
      <c r="C255" s="953">
        <f t="shared" si="48"/>
        <v>0</v>
      </c>
      <c r="D255" s="953">
        <f t="shared" si="48"/>
        <v>0</v>
      </c>
      <c r="E255" s="953">
        <f t="shared" si="48"/>
        <v>0</v>
      </c>
      <c r="F255" s="953">
        <f t="shared" si="48"/>
        <v>0</v>
      </c>
      <c r="G255" s="953">
        <f t="shared" si="48"/>
        <v>0</v>
      </c>
      <c r="H255" s="1091">
        <f t="shared" si="48"/>
        <v>0</v>
      </c>
      <c r="I255" s="954">
        <f t="shared" ref="I255" si="54">IF(I148="Stowed",IF(I94*I202&lt;1,INT(10*I94*I202)/10,I94*I202),0)</f>
        <v>0</v>
      </c>
    </row>
    <row r="256" spans="1:9" s="460" customFormat="1" hidden="1" outlineLevel="1" x14ac:dyDescent="0.25">
      <c r="A256" s="299"/>
      <c r="B256" s="953">
        <f t="shared" si="48"/>
        <v>0</v>
      </c>
      <c r="C256" s="953">
        <f t="shared" si="48"/>
        <v>0</v>
      </c>
      <c r="D256" s="953">
        <f t="shared" si="48"/>
        <v>0</v>
      </c>
      <c r="E256" s="953">
        <f t="shared" si="48"/>
        <v>0</v>
      </c>
      <c r="F256" s="953">
        <f t="shared" si="48"/>
        <v>0</v>
      </c>
      <c r="G256" s="953">
        <f t="shared" si="48"/>
        <v>0</v>
      </c>
      <c r="H256" s="1091">
        <f t="shared" si="48"/>
        <v>0</v>
      </c>
      <c r="I256" s="954">
        <f t="shared" ref="I256" si="55">IF(I149="Stowed",IF(I95*I203&lt;1,INT(10*I95*I203)/10,I95*I203),0)</f>
        <v>0</v>
      </c>
    </row>
    <row r="257" spans="1:9" s="460" customFormat="1" hidden="1" outlineLevel="1" x14ac:dyDescent="0.25">
      <c r="A257" s="299"/>
      <c r="B257" s="953">
        <f t="shared" si="48"/>
        <v>0</v>
      </c>
      <c r="C257" s="953">
        <f t="shared" si="48"/>
        <v>0</v>
      </c>
      <c r="D257" s="953">
        <f t="shared" si="48"/>
        <v>0</v>
      </c>
      <c r="E257" s="953">
        <f t="shared" si="48"/>
        <v>0</v>
      </c>
      <c r="F257" s="953">
        <f t="shared" si="48"/>
        <v>0</v>
      </c>
      <c r="G257" s="953">
        <f t="shared" si="48"/>
        <v>0</v>
      </c>
      <c r="H257" s="1091">
        <f t="shared" si="48"/>
        <v>0</v>
      </c>
      <c r="I257" s="954">
        <f t="shared" ref="I257" si="56">IF(I150="Stowed",IF(I96*I204&lt;1,INT(10*I96*I204)/10,I96*I204),0)</f>
        <v>0</v>
      </c>
    </row>
    <row r="258" spans="1:9" s="460" customFormat="1" hidden="1" outlineLevel="1" x14ac:dyDescent="0.25">
      <c r="A258" s="299"/>
      <c r="B258" s="953">
        <f t="shared" si="48"/>
        <v>0</v>
      </c>
      <c r="C258" s="953">
        <f t="shared" si="48"/>
        <v>0</v>
      </c>
      <c r="D258" s="953">
        <f t="shared" si="48"/>
        <v>0</v>
      </c>
      <c r="E258" s="953">
        <f t="shared" si="48"/>
        <v>0</v>
      </c>
      <c r="F258" s="953">
        <f t="shared" si="48"/>
        <v>0</v>
      </c>
      <c r="G258" s="953">
        <f t="shared" si="48"/>
        <v>0</v>
      </c>
      <c r="H258" s="1091">
        <f t="shared" si="48"/>
        <v>0</v>
      </c>
      <c r="I258" s="954">
        <f t="shared" ref="I258" si="57">IF(I151="Stowed",IF(I97*I205&lt;1,INT(10*I97*I205)/10,I97*I205),0)</f>
        <v>0</v>
      </c>
    </row>
    <row r="259" spans="1:9" s="460" customFormat="1" ht="15.75" hidden="1" outlineLevel="1" thickBot="1" x14ac:dyDescent="0.3">
      <c r="A259" s="499"/>
      <c r="B259" s="416">
        <f t="shared" si="48"/>
        <v>0</v>
      </c>
      <c r="C259" s="416">
        <f t="shared" si="48"/>
        <v>0</v>
      </c>
      <c r="D259" s="416">
        <f t="shared" si="48"/>
        <v>0</v>
      </c>
      <c r="E259" s="416">
        <f t="shared" si="48"/>
        <v>0</v>
      </c>
      <c r="F259" s="416">
        <f t="shared" si="48"/>
        <v>0</v>
      </c>
      <c r="G259" s="416">
        <f t="shared" si="48"/>
        <v>0</v>
      </c>
      <c r="H259" s="1092">
        <f t="shared" si="48"/>
        <v>0</v>
      </c>
      <c r="I259" s="417">
        <f t="shared" ref="I259" si="58">IF(I152="Stowed",IF(I98*I206&lt;1,INT(10*I98*I206)/10,I98*I206),0)</f>
        <v>0</v>
      </c>
    </row>
    <row r="260" spans="1:9" s="460" customFormat="1" hidden="1" outlineLevel="1" x14ac:dyDescent="0.25">
      <c r="A260" s="300"/>
      <c r="B260" s="356">
        <f t="shared" si="48"/>
        <v>0</v>
      </c>
      <c r="C260" s="356">
        <f t="shared" si="48"/>
        <v>0</v>
      </c>
      <c r="D260" s="356">
        <f t="shared" si="48"/>
        <v>0</v>
      </c>
      <c r="E260" s="356">
        <f t="shared" si="48"/>
        <v>0</v>
      </c>
      <c r="F260" s="356">
        <f t="shared" si="48"/>
        <v>0</v>
      </c>
      <c r="G260" s="356">
        <f t="shared" si="48"/>
        <v>0</v>
      </c>
      <c r="H260" s="1063">
        <f t="shared" si="48"/>
        <v>0</v>
      </c>
      <c r="I260" s="358">
        <f t="shared" ref="I260" si="59">IF(I153="Stowed",IF(I99*I207&lt;1,INT(10*I99*I207)/10,I99*I207),0)</f>
        <v>0</v>
      </c>
    </row>
    <row r="261" spans="1:9" s="460" customFormat="1" hidden="1" outlineLevel="1" x14ac:dyDescent="0.25">
      <c r="A261" s="299"/>
      <c r="B261" s="953">
        <f t="shared" si="48"/>
        <v>0</v>
      </c>
      <c r="C261" s="953">
        <f t="shared" si="48"/>
        <v>0</v>
      </c>
      <c r="D261" s="953">
        <f t="shared" si="48"/>
        <v>0</v>
      </c>
      <c r="E261" s="953">
        <f t="shared" si="48"/>
        <v>0</v>
      </c>
      <c r="F261" s="953">
        <f t="shared" si="48"/>
        <v>0</v>
      </c>
      <c r="G261" s="953">
        <f t="shared" si="48"/>
        <v>0</v>
      </c>
      <c r="H261" s="1091">
        <f t="shared" si="48"/>
        <v>0</v>
      </c>
      <c r="I261" s="954">
        <f t="shared" ref="I261" si="60">IF(I154="Stowed",IF(I100*I208&lt;1,INT(10*I100*I208)/10,I100*I208),0)</f>
        <v>0</v>
      </c>
    </row>
    <row r="262" spans="1:9" s="460" customFormat="1" hidden="1" outlineLevel="1" x14ac:dyDescent="0.25">
      <c r="A262" s="299"/>
      <c r="B262" s="953">
        <f t="shared" ref="B262:H271" si="61">IF(B155="Stowed",IF(B101*B209&lt;1,INT(10*B101*B209)/10,B101*B209),0)</f>
        <v>0</v>
      </c>
      <c r="C262" s="953">
        <f t="shared" si="61"/>
        <v>0</v>
      </c>
      <c r="D262" s="953">
        <f t="shared" si="61"/>
        <v>0</v>
      </c>
      <c r="E262" s="953">
        <f t="shared" si="61"/>
        <v>0</v>
      </c>
      <c r="F262" s="953">
        <f t="shared" si="61"/>
        <v>0</v>
      </c>
      <c r="G262" s="953">
        <f t="shared" si="61"/>
        <v>0</v>
      </c>
      <c r="H262" s="1091">
        <f t="shared" si="61"/>
        <v>0</v>
      </c>
      <c r="I262" s="954">
        <f t="shared" ref="I262" si="62">IF(I155="Stowed",IF(I101*I209&lt;1,INT(10*I101*I209)/10,I101*I209),0)</f>
        <v>0</v>
      </c>
    </row>
    <row r="263" spans="1:9" s="460" customFormat="1" hidden="1" outlineLevel="1" x14ac:dyDescent="0.25">
      <c r="A263" s="299"/>
      <c r="B263" s="953">
        <f t="shared" si="61"/>
        <v>0</v>
      </c>
      <c r="C263" s="953">
        <f t="shared" si="61"/>
        <v>0</v>
      </c>
      <c r="D263" s="953">
        <f t="shared" si="61"/>
        <v>0</v>
      </c>
      <c r="E263" s="953">
        <f t="shared" si="61"/>
        <v>0</v>
      </c>
      <c r="F263" s="953">
        <f t="shared" si="61"/>
        <v>0</v>
      </c>
      <c r="G263" s="953">
        <f t="shared" si="61"/>
        <v>0</v>
      </c>
      <c r="H263" s="1091">
        <f t="shared" si="61"/>
        <v>0</v>
      </c>
      <c r="I263" s="954">
        <f t="shared" ref="I263" si="63">IF(I156="Stowed",IF(I102*I210&lt;1,INT(10*I102*I210)/10,I102*I210),0)</f>
        <v>0</v>
      </c>
    </row>
    <row r="264" spans="1:9" s="460" customFormat="1" hidden="1" outlineLevel="1" x14ac:dyDescent="0.25">
      <c r="A264" s="299"/>
      <c r="B264" s="953">
        <f t="shared" si="61"/>
        <v>0</v>
      </c>
      <c r="C264" s="953">
        <f t="shared" si="61"/>
        <v>0</v>
      </c>
      <c r="D264" s="953">
        <f t="shared" si="61"/>
        <v>0</v>
      </c>
      <c r="E264" s="953">
        <f t="shared" si="61"/>
        <v>0</v>
      </c>
      <c r="F264" s="953">
        <f t="shared" si="61"/>
        <v>0</v>
      </c>
      <c r="G264" s="953">
        <f t="shared" si="61"/>
        <v>0</v>
      </c>
      <c r="H264" s="1091">
        <f t="shared" si="61"/>
        <v>0</v>
      </c>
      <c r="I264" s="954">
        <f t="shared" ref="I264" si="64">IF(I157="Stowed",IF(I103*I211&lt;1,INT(10*I103*I211)/10,I103*I211),0)</f>
        <v>0</v>
      </c>
    </row>
    <row r="265" spans="1:9" s="460" customFormat="1" hidden="1" outlineLevel="1" x14ac:dyDescent="0.25">
      <c r="A265" s="299"/>
      <c r="B265" s="953">
        <f t="shared" si="61"/>
        <v>0</v>
      </c>
      <c r="C265" s="953">
        <f t="shared" si="61"/>
        <v>0</v>
      </c>
      <c r="D265" s="953">
        <f t="shared" si="61"/>
        <v>0</v>
      </c>
      <c r="E265" s="953">
        <f t="shared" si="61"/>
        <v>0</v>
      </c>
      <c r="F265" s="953">
        <f t="shared" si="61"/>
        <v>0</v>
      </c>
      <c r="G265" s="953">
        <f t="shared" si="61"/>
        <v>0</v>
      </c>
      <c r="H265" s="1091">
        <f t="shared" si="61"/>
        <v>0</v>
      </c>
      <c r="I265" s="954">
        <f t="shared" ref="I265" si="65">IF(I158="Stowed",IF(I104*I212&lt;1,INT(10*I104*I212)/10,I104*I212),0)</f>
        <v>0</v>
      </c>
    </row>
    <row r="266" spans="1:9" s="460" customFormat="1" hidden="1" outlineLevel="1" x14ac:dyDescent="0.25">
      <c r="A266" s="299"/>
      <c r="B266" s="953">
        <f t="shared" si="61"/>
        <v>0</v>
      </c>
      <c r="C266" s="953">
        <f t="shared" si="61"/>
        <v>0</v>
      </c>
      <c r="D266" s="953">
        <f t="shared" si="61"/>
        <v>0</v>
      </c>
      <c r="E266" s="953">
        <f t="shared" si="61"/>
        <v>0</v>
      </c>
      <c r="F266" s="953">
        <f t="shared" si="61"/>
        <v>0</v>
      </c>
      <c r="G266" s="953">
        <f t="shared" si="61"/>
        <v>0</v>
      </c>
      <c r="H266" s="1091">
        <f t="shared" si="61"/>
        <v>0</v>
      </c>
      <c r="I266" s="954">
        <f t="shared" ref="I266" si="66">IF(I159="Stowed",IF(I105*I213&lt;1,INT(10*I105*I213)/10,I105*I213),0)</f>
        <v>0</v>
      </c>
    </row>
    <row r="267" spans="1:9" s="460" customFormat="1" hidden="1" outlineLevel="1" x14ac:dyDescent="0.25">
      <c r="A267" s="299"/>
      <c r="B267" s="953">
        <f t="shared" si="61"/>
        <v>0</v>
      </c>
      <c r="C267" s="953">
        <f t="shared" si="61"/>
        <v>0</v>
      </c>
      <c r="D267" s="953">
        <f t="shared" si="61"/>
        <v>0</v>
      </c>
      <c r="E267" s="953">
        <f t="shared" si="61"/>
        <v>0</v>
      </c>
      <c r="F267" s="953">
        <f t="shared" si="61"/>
        <v>0</v>
      </c>
      <c r="G267" s="953">
        <f t="shared" si="61"/>
        <v>0</v>
      </c>
      <c r="H267" s="1091">
        <f t="shared" si="61"/>
        <v>0</v>
      </c>
      <c r="I267" s="954">
        <f t="shared" ref="I267" si="67">IF(I160="Stowed",IF(I106*I214&lt;1,INT(10*I106*I214)/10,I106*I214),0)</f>
        <v>0</v>
      </c>
    </row>
    <row r="268" spans="1:9" s="460" customFormat="1" hidden="1" outlineLevel="1" x14ac:dyDescent="0.25">
      <c r="A268" s="299"/>
      <c r="B268" s="953">
        <f t="shared" si="61"/>
        <v>0</v>
      </c>
      <c r="C268" s="953">
        <f t="shared" si="61"/>
        <v>0</v>
      </c>
      <c r="D268" s="953">
        <f t="shared" si="61"/>
        <v>0</v>
      </c>
      <c r="E268" s="953">
        <f t="shared" si="61"/>
        <v>0</v>
      </c>
      <c r="F268" s="953">
        <f t="shared" si="61"/>
        <v>0</v>
      </c>
      <c r="G268" s="953">
        <f t="shared" si="61"/>
        <v>0</v>
      </c>
      <c r="H268" s="1091">
        <f t="shared" si="61"/>
        <v>0</v>
      </c>
      <c r="I268" s="954">
        <f t="shared" ref="I268" si="68">IF(I161="Stowed",IF(I107*I215&lt;1,INT(10*I107*I215)/10,I107*I215),0)</f>
        <v>0</v>
      </c>
    </row>
    <row r="269" spans="1:9" s="460" customFormat="1" hidden="1" outlineLevel="1" x14ac:dyDescent="0.25">
      <c r="A269" s="299"/>
      <c r="B269" s="953">
        <f t="shared" si="61"/>
        <v>0</v>
      </c>
      <c r="C269" s="953">
        <f t="shared" si="61"/>
        <v>0</v>
      </c>
      <c r="D269" s="953">
        <f t="shared" si="61"/>
        <v>0</v>
      </c>
      <c r="E269" s="953">
        <f t="shared" si="61"/>
        <v>0</v>
      </c>
      <c r="F269" s="953">
        <f t="shared" si="61"/>
        <v>0</v>
      </c>
      <c r="G269" s="953">
        <f t="shared" si="61"/>
        <v>0</v>
      </c>
      <c r="H269" s="1091">
        <f t="shared" si="61"/>
        <v>0</v>
      </c>
      <c r="I269" s="954">
        <f t="shared" ref="I269" si="69">IF(I162="Stowed",IF(I108*I216&lt;1,INT(10*I108*I216)/10,I108*I216),0)</f>
        <v>0</v>
      </c>
    </row>
    <row r="270" spans="1:9" s="460" customFormat="1" hidden="1" outlineLevel="1" x14ac:dyDescent="0.25">
      <c r="A270" s="299"/>
      <c r="B270" s="953">
        <f t="shared" si="61"/>
        <v>0</v>
      </c>
      <c r="C270" s="953">
        <f t="shared" si="61"/>
        <v>0</v>
      </c>
      <c r="D270" s="953">
        <f t="shared" si="61"/>
        <v>0</v>
      </c>
      <c r="E270" s="953">
        <f t="shared" si="61"/>
        <v>0</v>
      </c>
      <c r="F270" s="953">
        <f t="shared" si="61"/>
        <v>0</v>
      </c>
      <c r="G270" s="953">
        <f t="shared" si="61"/>
        <v>0</v>
      </c>
      <c r="H270" s="1091">
        <f t="shared" si="61"/>
        <v>0</v>
      </c>
      <c r="I270" s="954">
        <f t="shared" ref="I270" si="70">IF(I163="Stowed",IF(I109*I217&lt;1,INT(10*I109*I217)/10,I109*I217),0)</f>
        <v>0</v>
      </c>
    </row>
    <row r="271" spans="1:9" s="460" customFormat="1" hidden="1" outlineLevel="1" x14ac:dyDescent="0.25">
      <c r="A271" s="299"/>
      <c r="B271" s="953">
        <f t="shared" si="61"/>
        <v>0</v>
      </c>
      <c r="C271" s="953">
        <f t="shared" si="61"/>
        <v>0</v>
      </c>
      <c r="D271" s="953">
        <f t="shared" si="61"/>
        <v>0</v>
      </c>
      <c r="E271" s="953">
        <f t="shared" si="61"/>
        <v>0</v>
      </c>
      <c r="F271" s="953">
        <f t="shared" si="61"/>
        <v>0</v>
      </c>
      <c r="G271" s="953">
        <f t="shared" si="61"/>
        <v>0</v>
      </c>
      <c r="H271" s="1091">
        <f t="shared" si="61"/>
        <v>0</v>
      </c>
      <c r="I271" s="954">
        <f t="shared" ref="I271" si="71">IF(I164="Stowed",IF(I110*I218&lt;1,INT(10*I110*I218)/10,I110*I218),0)</f>
        <v>0</v>
      </c>
    </row>
    <row r="272" spans="1:9" s="460" customFormat="1" ht="15.75" hidden="1" outlineLevel="1" thickBot="1" x14ac:dyDescent="0.3">
      <c r="A272" s="499"/>
      <c r="B272" s="416">
        <f t="shared" ref="B272:H272" si="72">IF(B165="Stowed",IF(B111*B219&lt;1,INT(10*B111*B219)/10,B111*B219),0)</f>
        <v>0</v>
      </c>
      <c r="C272" s="416">
        <f t="shared" si="72"/>
        <v>0</v>
      </c>
      <c r="D272" s="416">
        <f t="shared" si="72"/>
        <v>0</v>
      </c>
      <c r="E272" s="416">
        <f t="shared" si="72"/>
        <v>0</v>
      </c>
      <c r="F272" s="416">
        <f t="shared" si="72"/>
        <v>0</v>
      </c>
      <c r="G272" s="416">
        <f t="shared" si="72"/>
        <v>0</v>
      </c>
      <c r="H272" s="1092">
        <f t="shared" si="72"/>
        <v>0</v>
      </c>
      <c r="I272" s="417">
        <f t="shared" ref="I272" si="73">IF(I165="Stowed",IF(I111*I219&lt;1,INT(10*I111*I219)/10,I111*I219),0)</f>
        <v>0</v>
      </c>
    </row>
    <row r="273" spans="1:9" s="130" customFormat="1" collapsed="1" x14ac:dyDescent="0.25">
      <c r="A273" s="931" t="s">
        <v>828</v>
      </c>
      <c r="B273" s="1001">
        <f t="shared" ref="B273:H273" si="74">SUM(B221:B272)</f>
        <v>1.5000000000000004</v>
      </c>
      <c r="C273" s="999">
        <f t="shared" si="74"/>
        <v>2.6000000000000005</v>
      </c>
      <c r="D273" s="999">
        <f t="shared" si="74"/>
        <v>1.3000000000000003</v>
      </c>
      <c r="E273" s="999">
        <f t="shared" si="74"/>
        <v>2.4000000000000004</v>
      </c>
      <c r="F273" s="999">
        <f t="shared" si="74"/>
        <v>3.4000000000000004</v>
      </c>
      <c r="G273" s="999">
        <f t="shared" si="74"/>
        <v>3.3000000000000003</v>
      </c>
      <c r="H273" s="1093">
        <f t="shared" si="74"/>
        <v>2.9000000000000004</v>
      </c>
      <c r="I273" s="1000">
        <f t="shared" ref="I273" si="75">SUM(I221:I272)</f>
        <v>3.3000000000000003</v>
      </c>
    </row>
    <row r="274" spans="1:9" s="130" customFormat="1" ht="15.75" thickBot="1" x14ac:dyDescent="0.3">
      <c r="A274" s="998" t="s">
        <v>140</v>
      </c>
      <c r="B274" s="996" t="str">
        <f>IF(B273&gt;4,"Backpack Overloaded","Backpack OK")</f>
        <v>Backpack OK</v>
      </c>
      <c r="C274" s="379" t="str">
        <f t="shared" ref="C274:H274" si="76">IF(C273&gt;4,"Backpack Overloaded","Backpack OK")</f>
        <v>Backpack OK</v>
      </c>
      <c r="D274" s="379" t="str">
        <f t="shared" si="76"/>
        <v>Backpack OK</v>
      </c>
      <c r="E274" s="379" t="str">
        <f t="shared" si="76"/>
        <v>Backpack OK</v>
      </c>
      <c r="F274" s="379" t="str">
        <f t="shared" si="76"/>
        <v>Backpack OK</v>
      </c>
      <c r="G274" s="379" t="str">
        <f t="shared" si="76"/>
        <v>Backpack OK</v>
      </c>
      <c r="H274" s="1094" t="str">
        <f t="shared" si="76"/>
        <v>Backpack OK</v>
      </c>
      <c r="I274" s="997" t="str">
        <f t="shared" ref="I274" si="77">IF(I273&gt;4,"Backpack Overloaded","Backpack OK")</f>
        <v>Backpack OK</v>
      </c>
    </row>
    <row r="275" spans="1:9" s="130" customFormat="1" ht="15.75" hidden="1" outlineLevel="1" thickBot="1" x14ac:dyDescent="0.3">
      <c r="A275" s="963"/>
      <c r="B275" s="961"/>
      <c r="C275" s="969"/>
      <c r="D275" s="969"/>
      <c r="E275" s="970"/>
      <c r="F275" s="970"/>
      <c r="G275" s="970"/>
      <c r="H275" s="961"/>
      <c r="I275" s="954"/>
    </row>
    <row r="276" spans="1:9" s="415" customFormat="1" ht="15.75" hidden="1" outlineLevel="1" thickBot="1" x14ac:dyDescent="0.3">
      <c r="A276" s="400" t="s">
        <v>478</v>
      </c>
      <c r="B276" s="966">
        <f t="shared" ref="B276:H276" si="78">IF(B113="Stowed",0,IF(SUM(B3:B6)*B167&lt;1,INT(10*SUM(B3:B6)*B167)/10,SUM(B3:B6)*B167))</f>
        <v>0</v>
      </c>
      <c r="C276" s="967">
        <f t="shared" si="78"/>
        <v>0</v>
      </c>
      <c r="D276" s="967">
        <f t="shared" si="78"/>
        <v>0</v>
      </c>
      <c r="E276" s="967">
        <f t="shared" si="78"/>
        <v>0</v>
      </c>
      <c r="F276" s="967">
        <f t="shared" si="78"/>
        <v>0</v>
      </c>
      <c r="G276" s="967">
        <f t="shared" si="78"/>
        <v>0</v>
      </c>
      <c r="H276" s="1095">
        <f t="shared" si="78"/>
        <v>0</v>
      </c>
      <c r="I276" s="968">
        <f t="shared" ref="I276" si="79">IF(I113="Stowed",0,IF(SUM(I3:I6)*I167&lt;1,INT(10*SUM(I3:I6)*I167)/10,SUM(I3:I6)*I167))</f>
        <v>0</v>
      </c>
    </row>
    <row r="277" spans="1:9" s="381" customFormat="1" ht="15.75" collapsed="1" thickBot="1" x14ac:dyDescent="0.3">
      <c r="A277" s="1018" t="s">
        <v>302</v>
      </c>
      <c r="B277" s="1019">
        <f>IF(B114="Back",IF(B273&lt;2,0,IF(B273&lt;3,B273-2,INT(B273-2))),IF(B60&lt;10,B60/10,INT(B60/10)))</f>
        <v>0</v>
      </c>
      <c r="C277" s="1019">
        <f t="shared" ref="C277:H277" si="80">IF(C114="Back",IF(C273&lt;2,0,IF(C273&lt;3,C273-2,INT(C273-2))),IF(C60&lt;10,C60/10,INT(C60/10)))</f>
        <v>0.60000000000000053</v>
      </c>
      <c r="D277" s="1019">
        <f t="shared" si="80"/>
        <v>0</v>
      </c>
      <c r="E277" s="1019">
        <f t="shared" si="80"/>
        <v>0.40000000000000036</v>
      </c>
      <c r="F277" s="1019">
        <f t="shared" si="80"/>
        <v>1</v>
      </c>
      <c r="G277" s="1019">
        <f t="shared" si="80"/>
        <v>1</v>
      </c>
      <c r="H277" s="1096">
        <f t="shared" si="80"/>
        <v>0.90000000000000036</v>
      </c>
      <c r="I277" s="1020">
        <f t="shared" ref="I277" si="81">IF(I114="Back",IF(I273&lt;2,0,IF(I273&lt;3,I273-2,INT(I273-2))),IF(I60&lt;10,I60/10,INT(I60/10)))</f>
        <v>1</v>
      </c>
    </row>
    <row r="278" spans="1:9" s="460" customFormat="1" hidden="1" outlineLevel="1" x14ac:dyDescent="0.25">
      <c r="A278" s="958" t="s">
        <v>303</v>
      </c>
      <c r="B278" s="1002">
        <f>IF(B115="Stowed",0,IF(B61*B169&lt;1,INT(10*B61*B169)/10,INT(B61*B169)))</f>
        <v>0</v>
      </c>
      <c r="C278" s="953">
        <f t="shared" ref="C278:H278" si="82">IF(C115="Stowed",0,IF(C61*C169&lt;1,INT(10*C61*C169)/10,INT(C61*C169)))</f>
        <v>0</v>
      </c>
      <c r="D278" s="953">
        <f t="shared" si="82"/>
        <v>0</v>
      </c>
      <c r="E278" s="953">
        <f t="shared" si="82"/>
        <v>0</v>
      </c>
      <c r="F278" s="953">
        <f t="shared" si="82"/>
        <v>0</v>
      </c>
      <c r="G278" s="953">
        <f t="shared" si="82"/>
        <v>0</v>
      </c>
      <c r="H278" s="1091">
        <f t="shared" si="82"/>
        <v>0</v>
      </c>
      <c r="I278" s="954">
        <f t="shared" ref="I278" si="83">IF(I115="Stowed",0,IF(I61*I169&lt;1,INT(10*I61*I169)/10,INT(I61*I169)))</f>
        <v>0</v>
      </c>
    </row>
    <row r="279" spans="1:9" s="460" customFormat="1" hidden="1" outlineLevel="1" x14ac:dyDescent="0.25">
      <c r="A279" s="958" t="s">
        <v>479</v>
      </c>
      <c r="B279" s="1002">
        <f t="shared" ref="B279:H279" si="84">IF(B116="Stowed",0,IF(B62*B170&lt;1,INT(10*B62*B170)/10,INT(B62*B170)))</f>
        <v>0</v>
      </c>
      <c r="C279" s="953">
        <f t="shared" si="84"/>
        <v>0</v>
      </c>
      <c r="D279" s="953">
        <f t="shared" si="84"/>
        <v>0</v>
      </c>
      <c r="E279" s="953">
        <f t="shared" si="84"/>
        <v>0</v>
      </c>
      <c r="F279" s="953">
        <f t="shared" si="84"/>
        <v>0</v>
      </c>
      <c r="G279" s="953">
        <f t="shared" si="84"/>
        <v>0</v>
      </c>
      <c r="H279" s="1091">
        <f t="shared" si="84"/>
        <v>0</v>
      </c>
      <c r="I279" s="954">
        <f t="shared" ref="I279" si="85">IF(I116="Stowed",0,IF(I62*I170&lt;1,INT(10*I62*I170)/10,INT(I62*I170)))</f>
        <v>0</v>
      </c>
    </row>
    <row r="280" spans="1:9" s="460" customFormat="1" hidden="1" outlineLevel="1" x14ac:dyDescent="0.25">
      <c r="A280" s="958" t="s">
        <v>304</v>
      </c>
      <c r="B280" s="1002">
        <f t="shared" ref="B280:H280" si="86">IF(B117="Stowed",0,IF(B63*B171&lt;1,INT(10*B63*B171)/10,INT(B63*B171)))</f>
        <v>0</v>
      </c>
      <c r="C280" s="953">
        <f t="shared" si="86"/>
        <v>0</v>
      </c>
      <c r="D280" s="953">
        <f t="shared" si="86"/>
        <v>0</v>
      </c>
      <c r="E280" s="953">
        <f t="shared" si="86"/>
        <v>0</v>
      </c>
      <c r="F280" s="953">
        <f t="shared" si="86"/>
        <v>0</v>
      </c>
      <c r="G280" s="953">
        <f t="shared" si="86"/>
        <v>0</v>
      </c>
      <c r="H280" s="1091">
        <f t="shared" si="86"/>
        <v>0</v>
      </c>
      <c r="I280" s="954">
        <f t="shared" ref="I280" si="87">IF(I117="Stowed",0,IF(I63*I171&lt;1,INT(10*I63*I171)/10,INT(I63*I171)))</f>
        <v>0</v>
      </c>
    </row>
    <row r="281" spans="1:9" s="460" customFormat="1" hidden="1" outlineLevel="1" x14ac:dyDescent="0.25">
      <c r="A281" s="959" t="s">
        <v>480</v>
      </c>
      <c r="B281" s="1002">
        <f t="shared" ref="B281:H281" si="88">IF(B118="Stowed",0,IF(B64*B172&lt;1,INT(10*B64*B172)/10,INT(B64*B172)))</f>
        <v>0</v>
      </c>
      <c r="C281" s="953">
        <f t="shared" si="88"/>
        <v>0</v>
      </c>
      <c r="D281" s="953">
        <f t="shared" si="88"/>
        <v>0</v>
      </c>
      <c r="E281" s="953">
        <f t="shared" si="88"/>
        <v>0</v>
      </c>
      <c r="F281" s="953">
        <f t="shared" si="88"/>
        <v>0</v>
      </c>
      <c r="G281" s="953">
        <f t="shared" si="88"/>
        <v>0</v>
      </c>
      <c r="H281" s="1091">
        <f t="shared" si="88"/>
        <v>0</v>
      </c>
      <c r="I281" s="954">
        <f t="shared" ref="I281" si="89">IF(I118="Stowed",0,IF(I64*I172&lt;1,INT(10*I64*I172)/10,INT(I64*I172)))</f>
        <v>0</v>
      </c>
    </row>
    <row r="282" spans="1:9" s="460" customFormat="1" hidden="1" outlineLevel="1" x14ac:dyDescent="0.25">
      <c r="A282" s="958" t="s">
        <v>305</v>
      </c>
      <c r="B282" s="1002">
        <f t="shared" ref="B282:H282" si="90">IF(B119="Stowed",0,IF(B65*B173&lt;1,INT(10*B65*B173)/10,INT(B65*B173)))</f>
        <v>0</v>
      </c>
      <c r="C282" s="953">
        <f t="shared" si="90"/>
        <v>0</v>
      </c>
      <c r="D282" s="953">
        <f t="shared" si="90"/>
        <v>0</v>
      </c>
      <c r="E282" s="953">
        <f t="shared" si="90"/>
        <v>0</v>
      </c>
      <c r="F282" s="953">
        <f t="shared" si="90"/>
        <v>0</v>
      </c>
      <c r="G282" s="953">
        <f t="shared" si="90"/>
        <v>0</v>
      </c>
      <c r="H282" s="1091">
        <f t="shared" si="90"/>
        <v>0</v>
      </c>
      <c r="I282" s="954">
        <f t="shared" ref="I282" si="91">IF(I119="Stowed",0,IF(I65*I173&lt;1,INT(10*I65*I173)/10,INT(I65*I173)))</f>
        <v>0</v>
      </c>
    </row>
    <row r="283" spans="1:9" s="460" customFormat="1" hidden="1" outlineLevel="1" x14ac:dyDescent="0.25">
      <c r="A283" s="958" t="s">
        <v>306</v>
      </c>
      <c r="B283" s="1002">
        <f t="shared" ref="B283:H283" si="92">IF(B120="Stowed",0,IF(B66*B174&lt;1,INT(10*B66*B174)/10,INT(B66*B174)))</f>
        <v>0</v>
      </c>
      <c r="C283" s="953">
        <f t="shared" si="92"/>
        <v>0</v>
      </c>
      <c r="D283" s="953">
        <f t="shared" si="92"/>
        <v>0</v>
      </c>
      <c r="E283" s="953">
        <f t="shared" si="92"/>
        <v>0</v>
      </c>
      <c r="F283" s="953">
        <f t="shared" si="92"/>
        <v>0</v>
      </c>
      <c r="G283" s="953">
        <f t="shared" si="92"/>
        <v>0</v>
      </c>
      <c r="H283" s="1091">
        <f t="shared" si="92"/>
        <v>0</v>
      </c>
      <c r="I283" s="954">
        <f t="shared" ref="I283" si="93">IF(I120="Stowed",0,IF(I66*I174&lt;1,INT(10*I66*I174)/10,INT(I66*I174)))</f>
        <v>0</v>
      </c>
    </row>
    <row r="284" spans="1:9" s="460" customFormat="1" hidden="1" outlineLevel="1" x14ac:dyDescent="0.25">
      <c r="A284" s="959" t="s">
        <v>485</v>
      </c>
      <c r="B284" s="1002">
        <f t="shared" ref="B284:H284" si="94">IF(B121="Stowed",0,IF(B67*B175&lt;1,INT(10*B67*B175)/10,INT(B67*B175)))</f>
        <v>0</v>
      </c>
      <c r="C284" s="953">
        <f t="shared" si="94"/>
        <v>0</v>
      </c>
      <c r="D284" s="953">
        <f t="shared" si="94"/>
        <v>0</v>
      </c>
      <c r="E284" s="953">
        <f t="shared" si="94"/>
        <v>0</v>
      </c>
      <c r="F284" s="953">
        <f t="shared" si="94"/>
        <v>0</v>
      </c>
      <c r="G284" s="953">
        <f t="shared" si="94"/>
        <v>0</v>
      </c>
      <c r="H284" s="1091">
        <f t="shared" si="94"/>
        <v>0</v>
      </c>
      <c r="I284" s="954">
        <f t="shared" ref="I284" si="95">IF(I121="Stowed",0,IF(I67*I175&lt;1,INT(10*I67*I175)/10,INT(I67*I175)))</f>
        <v>0</v>
      </c>
    </row>
    <row r="285" spans="1:9" s="460" customFormat="1" ht="15.75" hidden="1" outlineLevel="1" thickBot="1" x14ac:dyDescent="0.3">
      <c r="A285" s="960" t="s">
        <v>307</v>
      </c>
      <c r="B285" s="1003">
        <f t="shared" ref="B285:H285" si="96">IF(B122="Stowed",0,IF(B68*B176&lt;1,INT(10*B68*B176)/10,INT(B68*B176)))</f>
        <v>0</v>
      </c>
      <c r="C285" s="416">
        <f t="shared" si="96"/>
        <v>0</v>
      </c>
      <c r="D285" s="416">
        <f t="shared" si="96"/>
        <v>0</v>
      </c>
      <c r="E285" s="416">
        <f t="shared" si="96"/>
        <v>0</v>
      </c>
      <c r="F285" s="416">
        <f t="shared" si="96"/>
        <v>0</v>
      </c>
      <c r="G285" s="416">
        <f t="shared" si="96"/>
        <v>0</v>
      </c>
      <c r="H285" s="1092">
        <f t="shared" si="96"/>
        <v>0</v>
      </c>
      <c r="I285" s="417">
        <f t="shared" ref="I285" si="97">IF(I122="Stowed",0,IF(I68*I176&lt;1,INT(10*I68*I176)/10,INT(I68*I176)))</f>
        <v>0</v>
      </c>
    </row>
    <row r="286" spans="1:9" s="381" customFormat="1" hidden="1" outlineLevel="1" x14ac:dyDescent="0.25">
      <c r="A286" s="300" t="s">
        <v>279</v>
      </c>
      <c r="B286" s="356">
        <f t="shared" ref="B286:H286" si="98">IF(B123="Stowed",0,IF(B69*B177&lt;1,INT(10*B69*B177)/10,INT(B69*B177)))</f>
        <v>2</v>
      </c>
      <c r="C286" s="356">
        <f t="shared" si="98"/>
        <v>1</v>
      </c>
      <c r="D286" s="356">
        <f t="shared" si="98"/>
        <v>0.1</v>
      </c>
      <c r="E286" s="356">
        <f t="shared" si="98"/>
        <v>0.4</v>
      </c>
      <c r="F286" s="356">
        <f t="shared" si="98"/>
        <v>0.1</v>
      </c>
      <c r="G286" s="356">
        <f t="shared" si="98"/>
        <v>0.1</v>
      </c>
      <c r="H286" s="1063">
        <f t="shared" si="98"/>
        <v>0</v>
      </c>
      <c r="I286" s="358">
        <f t="shared" ref="I286" si="99">IF(I123="Stowed",0,IF(I69*I177&lt;1,INT(10*I69*I177)/10,INT(I69*I177)))</f>
        <v>0.1</v>
      </c>
    </row>
    <row r="287" spans="1:9" s="381" customFormat="1" hidden="1" outlineLevel="1" x14ac:dyDescent="0.25">
      <c r="A287" s="299" t="s">
        <v>836</v>
      </c>
      <c r="B287" s="953">
        <f t="shared" ref="B287:H287" si="100">IF(B124="Stowed",0,IF(B70*B178&lt;1,INT(10*B70*B178)/10,INT(B70*B178)))</f>
        <v>1</v>
      </c>
      <c r="C287" s="953">
        <f t="shared" si="100"/>
        <v>1</v>
      </c>
      <c r="D287" s="953">
        <f t="shared" si="100"/>
        <v>2</v>
      </c>
      <c r="E287" s="953">
        <f t="shared" si="100"/>
        <v>0.1</v>
      </c>
      <c r="F287" s="953">
        <f t="shared" si="100"/>
        <v>1</v>
      </c>
      <c r="G287" s="953">
        <f t="shared" si="100"/>
        <v>0.1</v>
      </c>
      <c r="H287" s="1091">
        <f t="shared" si="100"/>
        <v>1</v>
      </c>
      <c r="I287" s="954">
        <f t="shared" ref="I287" si="101">IF(I124="Stowed",0,IF(I70*I178&lt;1,INT(10*I70*I178)/10,INT(I70*I178)))</f>
        <v>1</v>
      </c>
    </row>
    <row r="288" spans="1:9" s="381" customFormat="1" hidden="1" outlineLevel="1" x14ac:dyDescent="0.25">
      <c r="A288" s="299"/>
      <c r="B288" s="953">
        <f t="shared" ref="B288:H288" si="102">IF(B125="Stowed",0,IF(B71*B179&lt;1,INT(10*B71*B179)/10,INT(B71*B179)))</f>
        <v>0</v>
      </c>
      <c r="C288" s="953">
        <f t="shared" si="102"/>
        <v>0.1</v>
      </c>
      <c r="D288" s="953">
        <f t="shared" si="102"/>
        <v>0.1</v>
      </c>
      <c r="E288" s="953">
        <f t="shared" si="102"/>
        <v>2</v>
      </c>
      <c r="F288" s="953">
        <f t="shared" si="102"/>
        <v>0</v>
      </c>
      <c r="G288" s="953">
        <f t="shared" si="102"/>
        <v>1</v>
      </c>
      <c r="H288" s="1091">
        <f t="shared" si="102"/>
        <v>1</v>
      </c>
      <c r="I288" s="954">
        <f t="shared" ref="I288" si="103">IF(I125="Stowed",0,IF(I71*I179&lt;1,INT(10*I71*I179)/10,INT(I71*I179)))</f>
        <v>1</v>
      </c>
    </row>
    <row r="289" spans="1:9" s="381" customFormat="1" ht="15" hidden="1" customHeight="1" outlineLevel="1" thickBot="1" x14ac:dyDescent="0.3">
      <c r="A289" s="499"/>
      <c r="B289" s="416">
        <f t="shared" ref="B289:H289" si="104">IF(B126="Stowed",0,IF(B72*B180&lt;1,INT(10*B72*B180)/10,INT(B72*B180)))</f>
        <v>0.1</v>
      </c>
      <c r="C289" s="416">
        <f t="shared" si="104"/>
        <v>0.1</v>
      </c>
      <c r="D289" s="416">
        <f t="shared" si="104"/>
        <v>0.2</v>
      </c>
      <c r="E289" s="416">
        <f t="shared" si="104"/>
        <v>0</v>
      </c>
      <c r="F289" s="416">
        <f t="shared" si="104"/>
        <v>0.2</v>
      </c>
      <c r="G289" s="416">
        <f t="shared" si="104"/>
        <v>1</v>
      </c>
      <c r="H289" s="1092">
        <f t="shared" si="104"/>
        <v>2</v>
      </c>
      <c r="I289" s="417">
        <f t="shared" ref="I289" si="105">IF(I126="Stowed",0,IF(I72*I180&lt;1,INT(10*I72*I180)/10,INT(I72*I180)))</f>
        <v>0.1</v>
      </c>
    </row>
    <row r="290" spans="1:9" s="31" customFormat="1" ht="15" hidden="1" customHeight="1" outlineLevel="1" x14ac:dyDescent="0.25">
      <c r="A290" s="300"/>
      <c r="B290" s="356">
        <f t="shared" ref="B290:H290" si="106">IF(B127="Stowed",0,IF(B73*B181&lt;1,INT(10*B73*B181)/10,INT(B73*B181)))</f>
        <v>0.1</v>
      </c>
      <c r="C290" s="356">
        <f t="shared" si="106"/>
        <v>0</v>
      </c>
      <c r="D290" s="356">
        <f t="shared" si="106"/>
        <v>1</v>
      </c>
      <c r="E290" s="356">
        <f t="shared" si="106"/>
        <v>2</v>
      </c>
      <c r="F290" s="356">
        <f t="shared" si="106"/>
        <v>0.1</v>
      </c>
      <c r="G290" s="356">
        <f t="shared" si="106"/>
        <v>0</v>
      </c>
      <c r="H290" s="1063">
        <f t="shared" si="106"/>
        <v>0</v>
      </c>
      <c r="I290" s="358">
        <f t="shared" ref="I290" si="107">IF(I127="Stowed",0,IF(I73*I181&lt;1,INT(10*I73*I181)/10,INT(I73*I181)))</f>
        <v>0</v>
      </c>
    </row>
    <row r="291" spans="1:9" s="31" customFormat="1" ht="15" hidden="1" customHeight="1" outlineLevel="1" x14ac:dyDescent="0.25">
      <c r="A291" s="299"/>
      <c r="B291" s="953">
        <f t="shared" ref="B291:H291" si="108">IF(B128="Stowed",0,IF(B74*B182&lt;1,INT(10*B74*B182)/10,INT(B74*B182)))</f>
        <v>0</v>
      </c>
      <c r="C291" s="953">
        <f t="shared" si="108"/>
        <v>0.1</v>
      </c>
      <c r="D291" s="953">
        <f t="shared" si="108"/>
        <v>1</v>
      </c>
      <c r="E291" s="953">
        <f t="shared" si="108"/>
        <v>0</v>
      </c>
      <c r="F291" s="953">
        <f t="shared" si="108"/>
        <v>1</v>
      </c>
      <c r="G291" s="953">
        <f t="shared" si="108"/>
        <v>0.1</v>
      </c>
      <c r="H291" s="1091">
        <f t="shared" si="108"/>
        <v>0.1</v>
      </c>
      <c r="I291" s="954">
        <f t="shared" ref="I291" si="109">IF(I128="Stowed",0,IF(I74*I182&lt;1,INT(10*I74*I182)/10,INT(I74*I182)))</f>
        <v>0</v>
      </c>
    </row>
    <row r="292" spans="1:9" s="415" customFormat="1" hidden="1" outlineLevel="1" collapsed="1" x14ac:dyDescent="0.25">
      <c r="A292" s="299"/>
      <c r="B292" s="953">
        <f t="shared" ref="B292:H292" si="110">IF(B129="Stowed",0,IF(B75*B183&lt;1,INT(10*B75*B183)/10,INT(B75*B183)))</f>
        <v>0</v>
      </c>
      <c r="C292" s="953">
        <f t="shared" si="110"/>
        <v>0.1</v>
      </c>
      <c r="D292" s="953">
        <f t="shared" si="110"/>
        <v>0.1</v>
      </c>
      <c r="E292" s="953">
        <f t="shared" si="110"/>
        <v>0.2</v>
      </c>
      <c r="F292" s="953">
        <f t="shared" si="110"/>
        <v>0</v>
      </c>
      <c r="G292" s="953">
        <f t="shared" si="110"/>
        <v>0</v>
      </c>
      <c r="H292" s="1091">
        <f t="shared" si="110"/>
        <v>2</v>
      </c>
      <c r="I292" s="954">
        <f t="shared" ref="I292" si="111">IF(I129="Stowed",0,IF(I75*I183&lt;1,INT(10*I75*I183)/10,INT(I75*I183)))</f>
        <v>0.5</v>
      </c>
    </row>
    <row r="293" spans="1:9" s="460" customFormat="1" hidden="1" outlineLevel="1" x14ac:dyDescent="0.25">
      <c r="A293" s="299"/>
      <c r="B293" s="953">
        <f t="shared" ref="B293:H293" si="112">IF(B130="Stowed",0,IF(B76*B184&lt;1,INT(10*B76*B184)/10,INT(B76*B184)))</f>
        <v>0</v>
      </c>
      <c r="C293" s="953">
        <f t="shared" si="112"/>
        <v>0</v>
      </c>
      <c r="D293" s="953">
        <f t="shared" si="112"/>
        <v>0.1</v>
      </c>
      <c r="E293" s="953">
        <f t="shared" si="112"/>
        <v>0.1</v>
      </c>
      <c r="F293" s="953">
        <f t="shared" si="112"/>
        <v>0.1</v>
      </c>
      <c r="G293" s="953">
        <f t="shared" si="112"/>
        <v>0</v>
      </c>
      <c r="H293" s="1091">
        <f t="shared" si="112"/>
        <v>1</v>
      </c>
      <c r="I293" s="954">
        <f t="shared" ref="I293" si="113">IF(I130="Stowed",0,IF(I76*I184&lt;1,INT(10*I76*I184)/10,INT(I76*I184)))</f>
        <v>0</v>
      </c>
    </row>
    <row r="294" spans="1:9" s="381" customFormat="1" hidden="1" outlineLevel="1" collapsed="1" x14ac:dyDescent="0.25">
      <c r="A294" s="299"/>
      <c r="B294" s="953">
        <f t="shared" ref="B294:H294" si="114">IF(B131="Stowed",0,IF(B77*B185&lt;1,INT(10*B77*B185)/10,INT(B77*B185)))</f>
        <v>0</v>
      </c>
      <c r="C294" s="953">
        <f t="shared" si="114"/>
        <v>0.1</v>
      </c>
      <c r="D294" s="953">
        <f t="shared" si="114"/>
        <v>0.1</v>
      </c>
      <c r="E294" s="953">
        <f t="shared" si="114"/>
        <v>2</v>
      </c>
      <c r="F294" s="953">
        <f t="shared" si="114"/>
        <v>0.1</v>
      </c>
      <c r="G294" s="953">
        <f t="shared" si="114"/>
        <v>0</v>
      </c>
      <c r="H294" s="1091">
        <f t="shared" si="114"/>
        <v>0</v>
      </c>
      <c r="I294" s="954">
        <f t="shared" ref="I294" si="115">IF(I131="Stowed",0,IF(I77*I185&lt;1,INT(10*I77*I185)/10,INT(I77*I185)))</f>
        <v>0.1</v>
      </c>
    </row>
    <row r="295" spans="1:9" s="381" customFormat="1" hidden="1" outlineLevel="1" x14ac:dyDescent="0.25">
      <c r="A295" s="299"/>
      <c r="B295" s="953">
        <f t="shared" ref="B295:H295" si="116">IF(B132="Stowed",0,IF(B78*B186&lt;1,INT(10*B78*B186)/10,INT(B78*B186)))</f>
        <v>0.1</v>
      </c>
      <c r="C295" s="953">
        <f t="shared" si="116"/>
        <v>0.1</v>
      </c>
      <c r="D295" s="953">
        <f t="shared" si="116"/>
        <v>0.1</v>
      </c>
      <c r="E295" s="953">
        <f t="shared" si="116"/>
        <v>2</v>
      </c>
      <c r="F295" s="953">
        <f t="shared" si="116"/>
        <v>0</v>
      </c>
      <c r="G295" s="953">
        <f t="shared" si="116"/>
        <v>0.1</v>
      </c>
      <c r="H295" s="1091">
        <f t="shared" si="116"/>
        <v>0</v>
      </c>
      <c r="I295" s="954">
        <f t="shared" ref="I295" si="117">IF(I132="Stowed",0,IF(I78*I186&lt;1,INT(10*I78*I186)/10,INT(I78*I186)))</f>
        <v>0</v>
      </c>
    </row>
    <row r="296" spans="1:9" s="381" customFormat="1" hidden="1" outlineLevel="1" x14ac:dyDescent="0.25">
      <c r="A296" s="299"/>
      <c r="B296" s="953">
        <f t="shared" ref="B296:H296" si="118">IF(B133="Stowed",0,IF(B79*B187&lt;1,INT(10*B79*B187)/10,INT(B79*B187)))</f>
        <v>0.1</v>
      </c>
      <c r="C296" s="953">
        <f t="shared" si="118"/>
        <v>0.1</v>
      </c>
      <c r="D296" s="953">
        <f t="shared" si="118"/>
        <v>0</v>
      </c>
      <c r="E296" s="953">
        <f t="shared" si="118"/>
        <v>0</v>
      </c>
      <c r="F296" s="953">
        <f t="shared" si="118"/>
        <v>1</v>
      </c>
      <c r="G296" s="953">
        <f t="shared" si="118"/>
        <v>0</v>
      </c>
      <c r="H296" s="1091">
        <f t="shared" si="118"/>
        <v>0.1</v>
      </c>
      <c r="I296" s="954">
        <f t="shared" ref="I296" si="119">IF(I133="Stowed",0,IF(I79*I187&lt;1,INT(10*I79*I187)/10,INT(I79*I187)))</f>
        <v>0.1</v>
      </c>
    </row>
    <row r="297" spans="1:9" s="381" customFormat="1" hidden="1" outlineLevel="1" x14ac:dyDescent="0.25">
      <c r="A297" s="299"/>
      <c r="B297" s="953">
        <f t="shared" ref="B297:H297" si="120">IF(B134="Stowed",0,IF(B80*B188&lt;1,INT(10*B80*B188)/10,INT(B80*B188)))</f>
        <v>0</v>
      </c>
      <c r="C297" s="953">
        <f t="shared" si="120"/>
        <v>0.1</v>
      </c>
      <c r="D297" s="953">
        <f t="shared" si="120"/>
        <v>0.1</v>
      </c>
      <c r="E297" s="953">
        <f t="shared" si="120"/>
        <v>0.1</v>
      </c>
      <c r="F297" s="953">
        <f t="shared" si="120"/>
        <v>0.1</v>
      </c>
      <c r="G297" s="953">
        <f t="shared" si="120"/>
        <v>0</v>
      </c>
      <c r="H297" s="1091">
        <f t="shared" si="120"/>
        <v>0</v>
      </c>
      <c r="I297" s="954">
        <f t="shared" ref="I297" si="121">IF(I134="Stowed",0,IF(I80*I188&lt;1,INT(10*I80*I188)/10,INT(I80*I188)))</f>
        <v>0</v>
      </c>
    </row>
    <row r="298" spans="1:9" s="381" customFormat="1" hidden="1" outlineLevel="1" x14ac:dyDescent="0.25">
      <c r="A298" s="299"/>
      <c r="B298" s="953">
        <f t="shared" ref="B298:G298" si="122">IF(B135="Stowed",0,IF(B81*B189&lt;1,INT(10*B81*B189)/10,INT(B81*B189)))</f>
        <v>0</v>
      </c>
      <c r="C298" s="953">
        <f t="shared" si="122"/>
        <v>0.1</v>
      </c>
      <c r="D298" s="953">
        <f t="shared" si="122"/>
        <v>0.1</v>
      </c>
      <c r="E298" s="953">
        <f t="shared" si="122"/>
        <v>0.1</v>
      </c>
      <c r="F298" s="953">
        <f t="shared" si="122"/>
        <v>0</v>
      </c>
      <c r="G298" s="953">
        <f t="shared" si="122"/>
        <v>0.1</v>
      </c>
      <c r="H298" s="953">
        <f t="shared" ref="H298" si="123">IF(H135="Stowed",0,IF(H81*H189&lt;1,INT(10*H81*H189)/10,INT(H81*H189)))</f>
        <v>0</v>
      </c>
      <c r="I298" s="954">
        <f t="shared" ref="I298" si="124">IF(I135="Stowed",0,IF(I81*I189&lt;1,INT(10*I81*I189)/10,INT(I81*I189)))</f>
        <v>0</v>
      </c>
    </row>
    <row r="299" spans="1:9" s="460" customFormat="1" hidden="1" outlineLevel="1" x14ac:dyDescent="0.25">
      <c r="A299" s="299"/>
      <c r="B299" s="953">
        <f t="shared" ref="B299:G299" si="125">IF(B136="Stowed",0,IF(B82*B190&lt;1,INT(10*B82*B190)/10,INT(B82*B190)))</f>
        <v>0</v>
      </c>
      <c r="C299" s="953">
        <f t="shared" si="125"/>
        <v>0.1</v>
      </c>
      <c r="D299" s="953">
        <f t="shared" si="125"/>
        <v>0.1</v>
      </c>
      <c r="E299" s="953">
        <f t="shared" si="125"/>
        <v>0</v>
      </c>
      <c r="F299" s="953">
        <f t="shared" si="125"/>
        <v>0.1</v>
      </c>
      <c r="G299" s="953">
        <f t="shared" si="125"/>
        <v>0</v>
      </c>
      <c r="H299" s="953">
        <f t="shared" ref="H299" si="126">IF(H136="Stowed",0,IF(H82*H190&lt;1,INT(10*H82*H190)/10,INT(H82*H190)))</f>
        <v>0.1</v>
      </c>
      <c r="I299" s="954">
        <f t="shared" ref="I299" si="127">IF(I136="Stowed",0,IF(I82*I190&lt;1,INT(10*I82*I190)/10,INT(I82*I190)))</f>
        <v>0</v>
      </c>
    </row>
    <row r="300" spans="1:9" s="460" customFormat="1" hidden="1" outlineLevel="1" x14ac:dyDescent="0.25">
      <c r="A300" s="299"/>
      <c r="B300" s="953">
        <f t="shared" ref="B300:G300" si="128">IF(B137="Stowed",0,IF(B83*B191&lt;1,INT(10*B83*B191)/10,INT(B83*B191)))</f>
        <v>0</v>
      </c>
      <c r="C300" s="953">
        <f t="shared" si="128"/>
        <v>0</v>
      </c>
      <c r="D300" s="953">
        <f t="shared" si="128"/>
        <v>0</v>
      </c>
      <c r="E300" s="953">
        <f t="shared" si="128"/>
        <v>0</v>
      </c>
      <c r="F300" s="953">
        <f t="shared" si="128"/>
        <v>0.1</v>
      </c>
      <c r="G300" s="953">
        <f t="shared" si="128"/>
        <v>0</v>
      </c>
      <c r="H300" s="953">
        <f t="shared" ref="H300" si="129">IF(H137="Stowed",0,IF(H83*H191&lt;1,INT(10*H83*H191)/10,INT(H83*H191)))</f>
        <v>0</v>
      </c>
      <c r="I300" s="954">
        <f t="shared" ref="I300" si="130">IF(I137="Stowed",0,IF(I83*I191&lt;1,INT(10*I83*I191)/10,INT(I83*I191)))</f>
        <v>0</v>
      </c>
    </row>
    <row r="301" spans="1:9" s="460" customFormat="1" hidden="1" outlineLevel="1" x14ac:dyDescent="0.25">
      <c r="A301" s="299"/>
      <c r="B301" s="953">
        <f t="shared" ref="B301:G301" si="131">IF(B138="Stowed",0,IF(B84*B192&lt;1,INT(10*B84*B192)/10,INT(B84*B192)))</f>
        <v>0</v>
      </c>
      <c r="C301" s="953">
        <f t="shared" si="131"/>
        <v>0</v>
      </c>
      <c r="D301" s="953">
        <f t="shared" si="131"/>
        <v>0</v>
      </c>
      <c r="E301" s="953">
        <f t="shared" si="131"/>
        <v>0</v>
      </c>
      <c r="F301" s="953">
        <f t="shared" si="131"/>
        <v>0</v>
      </c>
      <c r="G301" s="953">
        <f t="shared" si="131"/>
        <v>0</v>
      </c>
      <c r="H301" s="953">
        <f t="shared" ref="H301" si="132">IF(H138="Stowed",0,IF(H84*H192&lt;1,INT(10*H84*H192)/10,INT(H84*H192)))</f>
        <v>0.1</v>
      </c>
      <c r="I301" s="954">
        <f t="shared" ref="I301" si="133">IF(I138="Stowed",0,IF(I84*I192&lt;1,INT(10*I84*I192)/10,INT(I84*I192)))</f>
        <v>0</v>
      </c>
    </row>
    <row r="302" spans="1:9" s="460" customFormat="1" ht="15.75" hidden="1" outlineLevel="1" thickBot="1" x14ac:dyDescent="0.3">
      <c r="A302" s="499"/>
      <c r="B302" s="416">
        <f t="shared" ref="B302:G302" si="134">IF(B139="Stowed",0,IF(B85*B193&lt;1,INT(10*B85*B193)/10,INT(B85*B193)))</f>
        <v>0</v>
      </c>
      <c r="C302" s="416">
        <f t="shared" si="134"/>
        <v>0</v>
      </c>
      <c r="D302" s="416">
        <f t="shared" si="134"/>
        <v>0</v>
      </c>
      <c r="E302" s="416">
        <f t="shared" si="134"/>
        <v>0</v>
      </c>
      <c r="F302" s="416">
        <f t="shared" si="134"/>
        <v>0.1</v>
      </c>
      <c r="G302" s="416">
        <f t="shared" si="134"/>
        <v>0</v>
      </c>
      <c r="H302" s="416">
        <f t="shared" ref="H302" si="135">IF(H139="Stowed",0,IF(H85*H193&lt;1,INT(10*H85*H193)/10,INT(H85*H193)))</f>
        <v>0.1</v>
      </c>
      <c r="I302" s="417">
        <f t="shared" ref="I302" si="136">IF(I139="Stowed",0,IF(I85*I193&lt;1,INT(10*I85*I193)/10,INT(I85*I193)))</f>
        <v>0</v>
      </c>
    </row>
    <row r="303" spans="1:9" s="460" customFormat="1" hidden="1" outlineLevel="1" x14ac:dyDescent="0.25">
      <c r="A303" s="300"/>
      <c r="B303" s="356">
        <f t="shared" ref="B303:G303" si="137">IF(B140="Stowed",0,IF(B86*B194&lt;1,INT(10*B86*B194)/10,INT(B86*B194)))</f>
        <v>0</v>
      </c>
      <c r="C303" s="356">
        <f t="shared" si="137"/>
        <v>0.1</v>
      </c>
      <c r="D303" s="356">
        <f t="shared" si="137"/>
        <v>0</v>
      </c>
      <c r="E303" s="356">
        <f t="shared" si="137"/>
        <v>0</v>
      </c>
      <c r="F303" s="356">
        <f t="shared" si="137"/>
        <v>1</v>
      </c>
      <c r="G303" s="356">
        <f t="shared" si="137"/>
        <v>0</v>
      </c>
      <c r="H303" s="356">
        <f t="shared" ref="H303" si="138">IF(H140="Stowed",0,IF(H86*H194&lt;1,INT(10*H86*H194)/10,INT(H86*H194)))</f>
        <v>1</v>
      </c>
      <c r="I303" s="358">
        <f t="shared" ref="I303" si="139">IF(I140="Stowed",0,IF(I86*I194&lt;1,INT(10*I86*I194)/10,INT(I86*I194)))</f>
        <v>0</v>
      </c>
    </row>
    <row r="304" spans="1:9" s="460" customFormat="1" hidden="1" outlineLevel="1" x14ac:dyDescent="0.25">
      <c r="A304" s="299"/>
      <c r="B304" s="953">
        <f t="shared" ref="B304:G304" si="140">IF(B141="Stowed",0,IF(B87*B195&lt;1,INT(10*B87*B195)/10,INT(B87*B195)))</f>
        <v>0</v>
      </c>
      <c r="C304" s="953">
        <f t="shared" si="140"/>
        <v>0.1</v>
      </c>
      <c r="D304" s="953">
        <f t="shared" si="140"/>
        <v>0</v>
      </c>
      <c r="E304" s="953">
        <f t="shared" si="140"/>
        <v>0</v>
      </c>
      <c r="F304" s="953">
        <f t="shared" si="140"/>
        <v>0</v>
      </c>
      <c r="G304" s="953">
        <f t="shared" si="140"/>
        <v>0</v>
      </c>
      <c r="H304" s="953">
        <f t="shared" ref="H304" si="141">IF(H141="Stowed",0,IF(H87*H195&lt;1,INT(10*H87*H195)/10,INT(H87*H195)))</f>
        <v>0</v>
      </c>
      <c r="I304" s="954">
        <f t="shared" ref="I304" si="142">IF(I141="Stowed",0,IF(I87*I195&lt;1,INT(10*I87*I195)/10,INT(I87*I195)))</f>
        <v>0</v>
      </c>
    </row>
    <row r="305" spans="1:9" s="460" customFormat="1" hidden="1" outlineLevel="1" x14ac:dyDescent="0.25">
      <c r="A305" s="299"/>
      <c r="B305" s="953">
        <f t="shared" ref="B305:G305" si="143">IF(B142="Stowed",0,IF(B88*B196&lt;1,INT(10*B88*B196)/10,INT(B88*B196)))</f>
        <v>0</v>
      </c>
      <c r="C305" s="953">
        <f t="shared" si="143"/>
        <v>1</v>
      </c>
      <c r="D305" s="953">
        <f t="shared" si="143"/>
        <v>0</v>
      </c>
      <c r="E305" s="953">
        <f t="shared" si="143"/>
        <v>0</v>
      </c>
      <c r="F305" s="953">
        <f t="shared" si="143"/>
        <v>0</v>
      </c>
      <c r="G305" s="953">
        <f t="shared" si="143"/>
        <v>0</v>
      </c>
      <c r="H305" s="953">
        <f t="shared" ref="H305" si="144">IF(H142="Stowed",0,IF(H88*H196&lt;1,INT(10*H88*H196)/10,INT(H88*H196)))</f>
        <v>0</v>
      </c>
      <c r="I305" s="954">
        <f t="shared" ref="I305" si="145">IF(I142="Stowed",0,IF(I88*I196&lt;1,INT(10*I88*I196)/10,INT(I88*I196)))</f>
        <v>0</v>
      </c>
    </row>
    <row r="306" spans="1:9" s="460" customFormat="1" hidden="1" outlineLevel="1" x14ac:dyDescent="0.25">
      <c r="A306" s="299"/>
      <c r="B306" s="953">
        <f t="shared" ref="B306:G306" si="146">IF(B143="Stowed",0,IF(B89*B197&lt;1,INT(10*B89*B197)/10,INT(B89*B197)))</f>
        <v>0</v>
      </c>
      <c r="C306" s="953">
        <f t="shared" si="146"/>
        <v>0</v>
      </c>
      <c r="D306" s="953">
        <f t="shared" si="146"/>
        <v>0</v>
      </c>
      <c r="E306" s="953">
        <f t="shared" si="146"/>
        <v>0</v>
      </c>
      <c r="F306" s="953">
        <f t="shared" si="146"/>
        <v>0</v>
      </c>
      <c r="G306" s="953">
        <f t="shared" si="146"/>
        <v>0</v>
      </c>
      <c r="H306" s="953">
        <f t="shared" ref="H306" si="147">IF(H143="Stowed",0,IF(H89*H197&lt;1,INT(10*H89*H197)/10,INT(H89*H197)))</f>
        <v>0</v>
      </c>
      <c r="I306" s="954">
        <f t="shared" ref="I306" si="148">IF(I143="Stowed",0,IF(I89*I197&lt;1,INT(10*I89*I197)/10,INT(I89*I197)))</f>
        <v>0</v>
      </c>
    </row>
    <row r="307" spans="1:9" s="460" customFormat="1" hidden="1" outlineLevel="1" x14ac:dyDescent="0.25">
      <c r="A307" s="299"/>
      <c r="B307" s="953">
        <f t="shared" ref="B307:G307" si="149">IF(B144="Stowed",0,IF(B90*B198&lt;1,INT(10*B90*B198)/10,INT(B90*B198)))</f>
        <v>0</v>
      </c>
      <c r="C307" s="953">
        <f t="shared" si="149"/>
        <v>0</v>
      </c>
      <c r="D307" s="953">
        <f t="shared" si="149"/>
        <v>0</v>
      </c>
      <c r="E307" s="953">
        <f t="shared" si="149"/>
        <v>0</v>
      </c>
      <c r="F307" s="953">
        <f t="shared" si="149"/>
        <v>0</v>
      </c>
      <c r="G307" s="953">
        <f t="shared" si="149"/>
        <v>0</v>
      </c>
      <c r="H307" s="953">
        <f t="shared" ref="H307" si="150">IF(H144="Stowed",0,IF(H90*H198&lt;1,INT(10*H90*H198)/10,INT(H90*H198)))</f>
        <v>0</v>
      </c>
      <c r="I307" s="954">
        <f t="shared" ref="I307" si="151">IF(I144="Stowed",0,IF(I90*I198&lt;1,INT(10*I90*I198)/10,INT(I90*I198)))</f>
        <v>0</v>
      </c>
    </row>
    <row r="308" spans="1:9" s="460" customFormat="1" hidden="1" outlineLevel="1" x14ac:dyDescent="0.25">
      <c r="A308" s="299"/>
      <c r="B308" s="953">
        <f t="shared" ref="B308:G308" si="152">IF(B145="Stowed",0,IF(B91*B199&lt;1,INT(10*B91*B199)/10,INT(B91*B199)))</f>
        <v>0</v>
      </c>
      <c r="C308" s="953">
        <f t="shared" si="152"/>
        <v>0</v>
      </c>
      <c r="D308" s="953">
        <f t="shared" si="152"/>
        <v>0</v>
      </c>
      <c r="E308" s="953">
        <f t="shared" si="152"/>
        <v>0</v>
      </c>
      <c r="F308" s="953">
        <f t="shared" si="152"/>
        <v>0</v>
      </c>
      <c r="G308" s="953">
        <f t="shared" si="152"/>
        <v>0</v>
      </c>
      <c r="H308" s="953">
        <f t="shared" ref="H308" si="153">IF(H145="Stowed",0,IF(H91*H199&lt;1,INT(10*H91*H199)/10,INT(H91*H199)))</f>
        <v>0</v>
      </c>
      <c r="I308" s="954">
        <f t="shared" ref="I308" si="154">IF(I145="Stowed",0,IF(I91*I199&lt;1,INT(10*I91*I199)/10,INT(I91*I199)))</f>
        <v>0</v>
      </c>
    </row>
    <row r="309" spans="1:9" s="460" customFormat="1" hidden="1" outlineLevel="1" x14ac:dyDescent="0.25">
      <c r="A309" s="299"/>
      <c r="B309" s="953">
        <f t="shared" ref="B309:G309" si="155">IF(B146="Stowed",0,IF(B92*B200&lt;1,INT(10*B92*B200)/10,INT(B92*B200)))</f>
        <v>0</v>
      </c>
      <c r="C309" s="953">
        <f t="shared" si="155"/>
        <v>0</v>
      </c>
      <c r="D309" s="953">
        <f t="shared" si="155"/>
        <v>0</v>
      </c>
      <c r="E309" s="953">
        <f t="shared" si="155"/>
        <v>0</v>
      </c>
      <c r="F309" s="953">
        <f t="shared" si="155"/>
        <v>0</v>
      </c>
      <c r="G309" s="953">
        <f t="shared" si="155"/>
        <v>0</v>
      </c>
      <c r="H309" s="953">
        <f t="shared" ref="H309" si="156">IF(H146="Stowed",0,IF(H92*H200&lt;1,INT(10*H92*H200)/10,INT(H92*H200)))</f>
        <v>0</v>
      </c>
      <c r="I309" s="954">
        <f t="shared" ref="I309" si="157">IF(I146="Stowed",0,IF(I92*I200&lt;1,INT(10*I92*I200)/10,INT(I92*I200)))</f>
        <v>0</v>
      </c>
    </row>
    <row r="310" spans="1:9" s="460" customFormat="1" hidden="1" outlineLevel="1" x14ac:dyDescent="0.25">
      <c r="A310" s="299"/>
      <c r="B310" s="953">
        <f t="shared" ref="B310:G310" si="158">IF(B147="Stowed",0,IF(B93*B201&lt;1,INT(10*B93*B201)/10,INT(B93*B201)))</f>
        <v>0</v>
      </c>
      <c r="C310" s="953">
        <f t="shared" si="158"/>
        <v>0</v>
      </c>
      <c r="D310" s="953">
        <f t="shared" si="158"/>
        <v>0</v>
      </c>
      <c r="E310" s="953">
        <f t="shared" si="158"/>
        <v>0</v>
      </c>
      <c r="F310" s="953">
        <f t="shared" si="158"/>
        <v>0</v>
      </c>
      <c r="G310" s="953">
        <f t="shared" si="158"/>
        <v>0</v>
      </c>
      <c r="H310" s="953">
        <f t="shared" ref="H310" si="159">IF(H147="Stowed",0,IF(H93*H201&lt;1,INT(10*H93*H201)/10,INT(H93*H201)))</f>
        <v>0</v>
      </c>
      <c r="I310" s="954">
        <f t="shared" ref="I310" si="160">IF(I147="Stowed",0,IF(I93*I201&lt;1,INT(10*I93*I201)/10,INT(I93*I201)))</f>
        <v>0</v>
      </c>
    </row>
    <row r="311" spans="1:9" s="460" customFormat="1" hidden="1" outlineLevel="1" x14ac:dyDescent="0.25">
      <c r="A311" s="299"/>
      <c r="B311" s="953">
        <f t="shared" ref="B311:G311" si="161">IF(B148="Stowed",0,IF(B94*B202&lt;1,INT(10*B94*B202)/10,INT(B94*B202)))</f>
        <v>0</v>
      </c>
      <c r="C311" s="953">
        <f t="shared" si="161"/>
        <v>0</v>
      </c>
      <c r="D311" s="953">
        <f t="shared" si="161"/>
        <v>0</v>
      </c>
      <c r="E311" s="953">
        <f t="shared" si="161"/>
        <v>0</v>
      </c>
      <c r="F311" s="953">
        <f t="shared" si="161"/>
        <v>0</v>
      </c>
      <c r="G311" s="953">
        <f t="shared" si="161"/>
        <v>0</v>
      </c>
      <c r="H311" s="953">
        <f t="shared" ref="H311" si="162">IF(H148="Stowed",0,IF(H94*H202&lt;1,INT(10*H94*H202)/10,INT(H94*H202)))</f>
        <v>0.1</v>
      </c>
      <c r="I311" s="954">
        <f t="shared" ref="I311" si="163">IF(I148="Stowed",0,IF(I94*I202&lt;1,INT(10*I94*I202)/10,INT(I94*I202)))</f>
        <v>0</v>
      </c>
    </row>
    <row r="312" spans="1:9" s="460" customFormat="1" hidden="1" outlineLevel="1" x14ac:dyDescent="0.25">
      <c r="A312" s="299"/>
      <c r="B312" s="953">
        <f t="shared" ref="B312:H312" si="164">IF(B149="Stowed",0,IF(B95*B203&lt;1,INT(10*B95*B203)/10,INT(B95*B203)))</f>
        <v>0</v>
      </c>
      <c r="C312" s="953">
        <f t="shared" si="164"/>
        <v>0</v>
      </c>
      <c r="D312" s="953">
        <f t="shared" si="164"/>
        <v>0</v>
      </c>
      <c r="E312" s="953">
        <f t="shared" si="164"/>
        <v>0</v>
      </c>
      <c r="F312" s="953">
        <f t="shared" si="164"/>
        <v>0</v>
      </c>
      <c r="G312" s="953">
        <f t="shared" si="164"/>
        <v>0</v>
      </c>
      <c r="H312" s="1091">
        <f t="shared" si="164"/>
        <v>0.1</v>
      </c>
      <c r="I312" s="954">
        <f t="shared" ref="I312" si="165">IF(I149="Stowed",0,IF(I95*I203&lt;1,INT(10*I95*I203)/10,INT(I95*I203)))</f>
        <v>0</v>
      </c>
    </row>
    <row r="313" spans="1:9" s="460" customFormat="1" hidden="1" outlineLevel="1" x14ac:dyDescent="0.25">
      <c r="A313" s="299"/>
      <c r="B313" s="953">
        <f t="shared" ref="B313:H313" si="166">IF(B150="Stowed",0,IF(B96*B204&lt;1,INT(10*B96*B204)/10,INT(B96*B204)))</f>
        <v>0</v>
      </c>
      <c r="C313" s="953">
        <f t="shared" si="166"/>
        <v>0</v>
      </c>
      <c r="D313" s="953">
        <f t="shared" si="166"/>
        <v>0</v>
      </c>
      <c r="E313" s="953">
        <f t="shared" si="166"/>
        <v>0</v>
      </c>
      <c r="F313" s="953">
        <f t="shared" si="166"/>
        <v>0</v>
      </c>
      <c r="G313" s="953">
        <f t="shared" si="166"/>
        <v>0</v>
      </c>
      <c r="H313" s="1091">
        <f t="shared" si="166"/>
        <v>0</v>
      </c>
      <c r="I313" s="954">
        <f t="shared" ref="I313" si="167">IF(I150="Stowed",0,IF(I96*I204&lt;1,INT(10*I96*I204)/10,INT(I96*I204)))</f>
        <v>0</v>
      </c>
    </row>
    <row r="314" spans="1:9" s="460" customFormat="1" hidden="1" outlineLevel="1" x14ac:dyDescent="0.25">
      <c r="A314" s="299"/>
      <c r="B314" s="953">
        <f t="shared" ref="B314:H314" si="168">IF(B151="Stowed",0,IF(B97*B205&lt;1,INT(10*B97*B205)/10,INT(B97*B205)))</f>
        <v>0</v>
      </c>
      <c r="C314" s="953">
        <f t="shared" si="168"/>
        <v>0</v>
      </c>
      <c r="D314" s="953">
        <f t="shared" si="168"/>
        <v>0</v>
      </c>
      <c r="E314" s="953">
        <f t="shared" si="168"/>
        <v>0</v>
      </c>
      <c r="F314" s="953">
        <f t="shared" si="168"/>
        <v>0</v>
      </c>
      <c r="G314" s="953">
        <f t="shared" si="168"/>
        <v>0</v>
      </c>
      <c r="H314" s="1091">
        <f t="shared" si="168"/>
        <v>0</v>
      </c>
      <c r="I314" s="954">
        <f t="shared" ref="I314" si="169">IF(I151="Stowed",0,IF(I97*I205&lt;1,INT(10*I97*I205)/10,INT(I97*I205)))</f>
        <v>0</v>
      </c>
    </row>
    <row r="315" spans="1:9" s="460" customFormat="1" ht="15.75" hidden="1" outlineLevel="1" thickBot="1" x14ac:dyDescent="0.3">
      <c r="A315" s="499"/>
      <c r="B315" s="416">
        <f t="shared" ref="B315:H315" si="170">IF(B152="Stowed",0,IF(B98*B206&lt;1,INT(10*B98*B206)/10,INT(B98*B206)))</f>
        <v>0</v>
      </c>
      <c r="C315" s="416">
        <f t="shared" si="170"/>
        <v>0</v>
      </c>
      <c r="D315" s="416">
        <f t="shared" si="170"/>
        <v>0</v>
      </c>
      <c r="E315" s="416">
        <f t="shared" si="170"/>
        <v>0</v>
      </c>
      <c r="F315" s="416">
        <f t="shared" si="170"/>
        <v>0</v>
      </c>
      <c r="G315" s="416">
        <f t="shared" si="170"/>
        <v>0</v>
      </c>
      <c r="H315" s="1092">
        <f t="shared" si="170"/>
        <v>0</v>
      </c>
      <c r="I315" s="417">
        <f t="shared" ref="I315" si="171">IF(I152="Stowed",0,IF(I98*I206&lt;1,INT(10*I98*I206)/10,INT(I98*I206)))</f>
        <v>0</v>
      </c>
    </row>
    <row r="316" spans="1:9" s="460" customFormat="1" hidden="1" outlineLevel="1" x14ac:dyDescent="0.25">
      <c r="A316" s="300"/>
      <c r="B316" s="356">
        <f t="shared" ref="B316:H316" si="172">IF(B153="Stowed",0,IF(B99*B207&lt;1,INT(10*B99*B207)/10,INT(B99*B207)))</f>
        <v>0</v>
      </c>
      <c r="C316" s="356">
        <f t="shared" si="172"/>
        <v>0</v>
      </c>
      <c r="D316" s="356">
        <f t="shared" si="172"/>
        <v>0</v>
      </c>
      <c r="E316" s="356">
        <f t="shared" si="172"/>
        <v>0</v>
      </c>
      <c r="F316" s="356">
        <f t="shared" si="172"/>
        <v>0</v>
      </c>
      <c r="G316" s="356">
        <f t="shared" si="172"/>
        <v>0</v>
      </c>
      <c r="H316" s="1063">
        <f t="shared" si="172"/>
        <v>0</v>
      </c>
      <c r="I316" s="358">
        <f t="shared" ref="I316" si="173">IF(I153="Stowed",0,IF(I99*I207&lt;1,INT(10*I99*I207)/10,INT(I99*I207)))</f>
        <v>0</v>
      </c>
    </row>
    <row r="317" spans="1:9" s="460" customFormat="1" hidden="1" outlineLevel="1" x14ac:dyDescent="0.25">
      <c r="A317" s="299"/>
      <c r="B317" s="953">
        <f t="shared" ref="B317:H317" si="174">IF(B154="Stowed",0,IF(B100*B208&lt;1,INT(10*B100*B208)/10,INT(B100*B208)))</f>
        <v>0</v>
      </c>
      <c r="C317" s="953">
        <f t="shared" si="174"/>
        <v>0</v>
      </c>
      <c r="D317" s="953">
        <f t="shared" si="174"/>
        <v>0</v>
      </c>
      <c r="E317" s="953">
        <f t="shared" si="174"/>
        <v>0</v>
      </c>
      <c r="F317" s="953">
        <f t="shared" si="174"/>
        <v>0</v>
      </c>
      <c r="G317" s="953">
        <f t="shared" si="174"/>
        <v>0</v>
      </c>
      <c r="H317" s="1091">
        <f t="shared" si="174"/>
        <v>0</v>
      </c>
      <c r="I317" s="954">
        <f t="shared" ref="I317" si="175">IF(I154="Stowed",0,IF(I100*I208&lt;1,INT(10*I100*I208)/10,INT(I100*I208)))</f>
        <v>0</v>
      </c>
    </row>
    <row r="318" spans="1:9" s="460" customFormat="1" hidden="1" outlineLevel="1" x14ac:dyDescent="0.25">
      <c r="A318" s="299"/>
      <c r="B318" s="953">
        <f t="shared" ref="B318:H318" si="176">IF(B155="Stowed",0,IF(B101*B209&lt;1,INT(10*B101*B209)/10,INT(B101*B209)))</f>
        <v>0</v>
      </c>
      <c r="C318" s="953">
        <f t="shared" si="176"/>
        <v>0</v>
      </c>
      <c r="D318" s="953">
        <f t="shared" si="176"/>
        <v>0</v>
      </c>
      <c r="E318" s="953">
        <f t="shared" si="176"/>
        <v>0</v>
      </c>
      <c r="F318" s="953">
        <f t="shared" si="176"/>
        <v>0</v>
      </c>
      <c r="G318" s="953">
        <f t="shared" si="176"/>
        <v>0</v>
      </c>
      <c r="H318" s="1091">
        <f t="shared" si="176"/>
        <v>0</v>
      </c>
      <c r="I318" s="954">
        <f t="shared" ref="I318" si="177">IF(I155="Stowed",0,IF(I101*I209&lt;1,INT(10*I101*I209)/10,INT(I101*I209)))</f>
        <v>0</v>
      </c>
    </row>
    <row r="319" spans="1:9" s="460" customFormat="1" hidden="1" outlineLevel="1" x14ac:dyDescent="0.25">
      <c r="A319" s="299"/>
      <c r="B319" s="953">
        <f t="shared" ref="B319:H319" si="178">IF(B156="Stowed",0,IF(B102*B210&lt;1,INT(10*B102*B210)/10,INT(B102*B210)))</f>
        <v>0</v>
      </c>
      <c r="C319" s="953">
        <f t="shared" si="178"/>
        <v>0</v>
      </c>
      <c r="D319" s="953">
        <f t="shared" si="178"/>
        <v>0</v>
      </c>
      <c r="E319" s="953">
        <f t="shared" si="178"/>
        <v>0</v>
      </c>
      <c r="F319" s="953">
        <f t="shared" si="178"/>
        <v>0</v>
      </c>
      <c r="G319" s="953">
        <f t="shared" si="178"/>
        <v>0</v>
      </c>
      <c r="H319" s="1091">
        <f t="shared" si="178"/>
        <v>0</v>
      </c>
      <c r="I319" s="954">
        <f t="shared" ref="I319" si="179">IF(I156="Stowed",0,IF(I102*I210&lt;1,INT(10*I102*I210)/10,INT(I102*I210)))</f>
        <v>0</v>
      </c>
    </row>
    <row r="320" spans="1:9" s="460" customFormat="1" hidden="1" outlineLevel="1" x14ac:dyDescent="0.25">
      <c r="A320" s="299"/>
      <c r="B320" s="953">
        <f t="shared" ref="B320:H320" si="180">IF(B157="Stowed",0,IF(B103*B211&lt;1,INT(10*B103*B211)/10,INT(B103*B211)))</f>
        <v>0</v>
      </c>
      <c r="C320" s="953">
        <f t="shared" si="180"/>
        <v>0</v>
      </c>
      <c r="D320" s="953">
        <f t="shared" si="180"/>
        <v>0</v>
      </c>
      <c r="E320" s="953">
        <f t="shared" si="180"/>
        <v>0</v>
      </c>
      <c r="F320" s="953">
        <f t="shared" si="180"/>
        <v>0</v>
      </c>
      <c r="G320" s="953">
        <f t="shared" si="180"/>
        <v>0</v>
      </c>
      <c r="H320" s="1091">
        <f t="shared" si="180"/>
        <v>0</v>
      </c>
      <c r="I320" s="954">
        <f t="shared" ref="I320" si="181">IF(I157="Stowed",0,IF(I103*I211&lt;1,INT(10*I103*I211)/10,INT(I103*I211)))</f>
        <v>0</v>
      </c>
    </row>
    <row r="321" spans="1:9" s="460" customFormat="1" hidden="1" outlineLevel="1" x14ac:dyDescent="0.25">
      <c r="A321" s="299"/>
      <c r="B321" s="953">
        <f t="shared" ref="B321:H321" si="182">IF(B158="Stowed",0,IF(B104*B212&lt;1,INT(10*B104*B212)/10,INT(B104*B212)))</f>
        <v>0</v>
      </c>
      <c r="C321" s="953">
        <f t="shared" si="182"/>
        <v>0</v>
      </c>
      <c r="D321" s="953">
        <f t="shared" si="182"/>
        <v>0</v>
      </c>
      <c r="E321" s="953">
        <f t="shared" si="182"/>
        <v>0</v>
      </c>
      <c r="F321" s="953">
        <f t="shared" si="182"/>
        <v>0</v>
      </c>
      <c r="G321" s="953">
        <f t="shared" si="182"/>
        <v>0</v>
      </c>
      <c r="H321" s="1091">
        <f t="shared" si="182"/>
        <v>0</v>
      </c>
      <c r="I321" s="954">
        <f t="shared" ref="I321" si="183">IF(I158="Stowed",0,IF(I104*I212&lt;1,INT(10*I104*I212)/10,INT(I104*I212)))</f>
        <v>0</v>
      </c>
    </row>
    <row r="322" spans="1:9" s="460" customFormat="1" hidden="1" outlineLevel="1" x14ac:dyDescent="0.25">
      <c r="A322" s="299"/>
      <c r="B322" s="953">
        <f t="shared" ref="B322:H322" si="184">IF(B159="Stowed",0,IF(B105*B213&lt;1,INT(10*B105*B213)/10,INT(B105*B213)))</f>
        <v>0</v>
      </c>
      <c r="C322" s="953">
        <f t="shared" si="184"/>
        <v>0</v>
      </c>
      <c r="D322" s="953">
        <f t="shared" si="184"/>
        <v>0</v>
      </c>
      <c r="E322" s="953">
        <f t="shared" si="184"/>
        <v>0</v>
      </c>
      <c r="F322" s="953">
        <f t="shared" si="184"/>
        <v>0</v>
      </c>
      <c r="G322" s="953">
        <f t="shared" si="184"/>
        <v>0</v>
      </c>
      <c r="H322" s="1091">
        <f t="shared" si="184"/>
        <v>0</v>
      </c>
      <c r="I322" s="954">
        <f t="shared" ref="I322" si="185">IF(I159="Stowed",0,IF(I105*I213&lt;1,INT(10*I105*I213)/10,INT(I105*I213)))</f>
        <v>0</v>
      </c>
    </row>
    <row r="323" spans="1:9" s="460" customFormat="1" hidden="1" outlineLevel="1" x14ac:dyDescent="0.25">
      <c r="A323" s="299"/>
      <c r="B323" s="953">
        <f t="shared" ref="B323:H323" si="186">IF(B160="Stowed",0,IF(B106*B214&lt;1,INT(10*B106*B214)/10,INT(B106*B214)))</f>
        <v>0</v>
      </c>
      <c r="C323" s="953">
        <f t="shared" si="186"/>
        <v>0</v>
      </c>
      <c r="D323" s="953">
        <f t="shared" si="186"/>
        <v>0</v>
      </c>
      <c r="E323" s="953">
        <f t="shared" si="186"/>
        <v>0</v>
      </c>
      <c r="F323" s="953">
        <f t="shared" si="186"/>
        <v>0</v>
      </c>
      <c r="G323" s="953">
        <f t="shared" si="186"/>
        <v>0</v>
      </c>
      <c r="H323" s="1091">
        <f t="shared" si="186"/>
        <v>0</v>
      </c>
      <c r="I323" s="954">
        <f t="shared" ref="I323" si="187">IF(I160="Stowed",0,IF(I106*I214&lt;1,INT(10*I106*I214)/10,INT(I106*I214)))</f>
        <v>0</v>
      </c>
    </row>
    <row r="324" spans="1:9" s="460" customFormat="1" hidden="1" outlineLevel="1" x14ac:dyDescent="0.25">
      <c r="A324" s="299"/>
      <c r="B324" s="953">
        <f t="shared" ref="B324:H324" si="188">IF(B161="Stowed",0,IF(B107*B215&lt;1,INT(10*B107*B215)/10,INT(B107*B215)))</f>
        <v>0</v>
      </c>
      <c r="C324" s="953">
        <f t="shared" si="188"/>
        <v>0</v>
      </c>
      <c r="D324" s="953">
        <f t="shared" si="188"/>
        <v>0</v>
      </c>
      <c r="E324" s="953">
        <f t="shared" si="188"/>
        <v>0</v>
      </c>
      <c r="F324" s="953">
        <f t="shared" si="188"/>
        <v>0</v>
      </c>
      <c r="G324" s="953">
        <f t="shared" si="188"/>
        <v>0</v>
      </c>
      <c r="H324" s="1091">
        <f t="shared" si="188"/>
        <v>0</v>
      </c>
      <c r="I324" s="954">
        <f t="shared" ref="I324" si="189">IF(I161="Stowed",0,IF(I107*I215&lt;1,INT(10*I107*I215)/10,INT(I107*I215)))</f>
        <v>0</v>
      </c>
    </row>
    <row r="325" spans="1:9" s="460" customFormat="1" hidden="1" outlineLevel="1" x14ac:dyDescent="0.25">
      <c r="A325" s="299"/>
      <c r="B325" s="953">
        <f t="shared" ref="B325:H325" si="190">IF(B162="Stowed",0,IF(B108*B216&lt;1,INT(10*B108*B216)/10,INT(B108*B216)))</f>
        <v>0</v>
      </c>
      <c r="C325" s="953">
        <f t="shared" si="190"/>
        <v>0</v>
      </c>
      <c r="D325" s="953">
        <f t="shared" si="190"/>
        <v>0</v>
      </c>
      <c r="E325" s="953">
        <f t="shared" si="190"/>
        <v>0</v>
      </c>
      <c r="F325" s="953">
        <f t="shared" si="190"/>
        <v>0</v>
      </c>
      <c r="G325" s="953">
        <f t="shared" si="190"/>
        <v>0</v>
      </c>
      <c r="H325" s="1091">
        <f t="shared" si="190"/>
        <v>0</v>
      </c>
      <c r="I325" s="954">
        <f t="shared" ref="I325" si="191">IF(I162="Stowed",0,IF(I108*I216&lt;1,INT(10*I108*I216)/10,INT(I108*I216)))</f>
        <v>0</v>
      </c>
    </row>
    <row r="326" spans="1:9" s="460" customFormat="1" hidden="1" outlineLevel="1" x14ac:dyDescent="0.25">
      <c r="A326" s="299"/>
      <c r="B326" s="953">
        <f t="shared" ref="B326:H326" si="192">IF(B163="Stowed",0,IF(B109*B217&lt;1,INT(10*B109*B217)/10,INT(B109*B217)))</f>
        <v>0</v>
      </c>
      <c r="C326" s="953">
        <f t="shared" si="192"/>
        <v>0</v>
      </c>
      <c r="D326" s="953">
        <f t="shared" si="192"/>
        <v>0</v>
      </c>
      <c r="E326" s="953">
        <f t="shared" si="192"/>
        <v>0</v>
      </c>
      <c r="F326" s="953">
        <f t="shared" si="192"/>
        <v>0</v>
      </c>
      <c r="G326" s="953">
        <f t="shared" si="192"/>
        <v>0</v>
      </c>
      <c r="H326" s="1091">
        <f t="shared" si="192"/>
        <v>0</v>
      </c>
      <c r="I326" s="954">
        <f t="shared" ref="I326" si="193">IF(I163="Stowed",0,IF(I109*I217&lt;1,INT(10*I109*I217)/10,INT(I109*I217)))</f>
        <v>0</v>
      </c>
    </row>
    <row r="327" spans="1:9" s="460" customFormat="1" hidden="1" outlineLevel="1" x14ac:dyDescent="0.25">
      <c r="A327" s="299"/>
      <c r="B327" s="953">
        <f t="shared" ref="B327:H327" si="194">IF(B164="Stowed",0,IF(B110*B218&lt;1,INT(10*B110*B218)/10,INT(B110*B218)))</f>
        <v>0</v>
      </c>
      <c r="C327" s="953">
        <f t="shared" si="194"/>
        <v>0</v>
      </c>
      <c r="D327" s="953">
        <f t="shared" si="194"/>
        <v>0</v>
      </c>
      <c r="E327" s="953">
        <f t="shared" si="194"/>
        <v>0</v>
      </c>
      <c r="F327" s="953">
        <f t="shared" si="194"/>
        <v>0</v>
      </c>
      <c r="G327" s="953">
        <f t="shared" si="194"/>
        <v>0</v>
      </c>
      <c r="H327" s="1091">
        <f t="shared" si="194"/>
        <v>0</v>
      </c>
      <c r="I327" s="954">
        <f t="shared" ref="I327" si="195">IF(I164="Stowed",0,IF(I110*I218&lt;1,INT(10*I110*I218)/10,INT(I110*I218)))</f>
        <v>0</v>
      </c>
    </row>
    <row r="328" spans="1:9" s="460" customFormat="1" ht="15.75" hidden="1" outlineLevel="1" thickBot="1" x14ac:dyDescent="0.3">
      <c r="A328" s="499"/>
      <c r="B328" s="416">
        <f t="shared" ref="B328:H328" si="196">IF(B165="Stowed",0,IF(B111*B219&lt;1,INT(10*B111*B219)/10,INT(B111*B219)))</f>
        <v>0</v>
      </c>
      <c r="C328" s="416">
        <f t="shared" si="196"/>
        <v>0</v>
      </c>
      <c r="D328" s="416">
        <f t="shared" si="196"/>
        <v>0</v>
      </c>
      <c r="E328" s="416">
        <f t="shared" si="196"/>
        <v>0</v>
      </c>
      <c r="F328" s="416">
        <f t="shared" si="196"/>
        <v>0</v>
      </c>
      <c r="G328" s="416">
        <f t="shared" si="196"/>
        <v>0</v>
      </c>
      <c r="H328" s="1092">
        <f t="shared" si="196"/>
        <v>0</v>
      </c>
      <c r="I328" s="417">
        <f t="shared" ref="I328" si="197">IF(I165="Stowed",0,IF(I111*I219&lt;1,INT(10*I111*I219)/10,INT(I111*I219)))</f>
        <v>0</v>
      </c>
    </row>
    <row r="329" spans="1:9" s="381" customFormat="1" ht="15.75" collapsed="1" thickBot="1" x14ac:dyDescent="0.3">
      <c r="A329" s="315" t="s">
        <v>339</v>
      </c>
      <c r="B329" s="971">
        <f>INT(SUM(B276:B328))</f>
        <v>3</v>
      </c>
      <c r="C329" s="305">
        <f t="shared" ref="C329:H329" si="198">INT(SUM(C276:C328))</f>
        <v>4</v>
      </c>
      <c r="D329" s="305">
        <f t="shared" si="198"/>
        <v>5</v>
      </c>
      <c r="E329" s="305">
        <f t="shared" si="198"/>
        <v>9</v>
      </c>
      <c r="F329" s="305">
        <f t="shared" si="198"/>
        <v>6</v>
      </c>
      <c r="G329" s="305">
        <f t="shared" si="198"/>
        <v>3</v>
      </c>
      <c r="H329" s="1097">
        <f t="shared" si="198"/>
        <v>9</v>
      </c>
      <c r="I329" s="306">
        <f t="shared" ref="I329" si="199">INT(SUM(I276:I328))</f>
        <v>3</v>
      </c>
    </row>
    <row r="330" spans="1:9" s="460" customFormat="1" hidden="1" outlineLevel="1" x14ac:dyDescent="0.25">
      <c r="A330" s="349" t="s">
        <v>650</v>
      </c>
      <c r="B330" s="626"/>
      <c r="C330" s="293"/>
      <c r="D330" s="293"/>
      <c r="E330" s="293"/>
      <c r="F330" s="293"/>
      <c r="G330" s="293"/>
      <c r="H330" s="1098">
        <v>2</v>
      </c>
      <c r="I330" s="294">
        <v>2</v>
      </c>
    </row>
    <row r="331" spans="1:9" s="460" customFormat="1" hidden="1" outlineLevel="1" x14ac:dyDescent="0.25">
      <c r="A331" s="310" t="s">
        <v>649</v>
      </c>
      <c r="B331" s="324">
        <f>Stats!B11+B330</f>
        <v>0</v>
      </c>
      <c r="C331" s="291">
        <f>Stats!C11+C330</f>
        <v>0</v>
      </c>
      <c r="D331" s="291">
        <f>Stats!D11+D330</f>
        <v>2</v>
      </c>
      <c r="E331" s="291">
        <f>Stats!E11+E330</f>
        <v>4</v>
      </c>
      <c r="F331" s="291">
        <f>Stats!F11+F330</f>
        <v>0</v>
      </c>
      <c r="G331" s="291">
        <f>Stats!G11+G330</f>
        <v>2</v>
      </c>
      <c r="H331" s="1099">
        <f>Stats!H11+H330</f>
        <v>6</v>
      </c>
      <c r="I331" s="295">
        <f>Stats!I11+I330</f>
        <v>2</v>
      </c>
    </row>
    <row r="332" spans="1:9" s="460" customFormat="1" ht="15.75" collapsed="1" thickBot="1" x14ac:dyDescent="0.3">
      <c r="A332" s="311" t="s">
        <v>820</v>
      </c>
      <c r="B332" s="327">
        <f>B331+5-B329</f>
        <v>2</v>
      </c>
      <c r="C332" s="297">
        <f t="shared" ref="C332" si="200">C331+5-C329</f>
        <v>1</v>
      </c>
      <c r="D332" s="297">
        <f>D331+5-D329</f>
        <v>2</v>
      </c>
      <c r="E332" s="297">
        <f t="shared" ref="E332:H332" si="201">E331+5-E329</f>
        <v>0</v>
      </c>
      <c r="F332" s="297">
        <f t="shared" si="201"/>
        <v>-1</v>
      </c>
      <c r="G332" s="297">
        <f t="shared" si="201"/>
        <v>4</v>
      </c>
      <c r="H332" s="1100">
        <f t="shared" si="201"/>
        <v>2</v>
      </c>
      <c r="I332" s="298">
        <f t="shared" ref="I332" si="202">I331+5-I329</f>
        <v>4</v>
      </c>
    </row>
    <row r="333" spans="1:9" s="460" customFormat="1" ht="15.75" thickBot="1" x14ac:dyDescent="0.3">
      <c r="A333" s="315" t="s">
        <v>821</v>
      </c>
      <c r="B333" s="305" t="str">
        <f>IF(B329&gt;B331+5,IF(B329&gt;B331+10,"Cannot carry","Encumbered"),"Fine")</f>
        <v>Fine</v>
      </c>
      <c r="C333" s="305" t="str">
        <f t="shared" ref="C333:H333" si="203">IF(C329&gt;C331+5,IF(C329&gt;C331+10,"Cannot carry","Encumbered"),"Fine")</f>
        <v>Fine</v>
      </c>
      <c r="D333" s="305" t="str">
        <f t="shared" si="203"/>
        <v>Fine</v>
      </c>
      <c r="E333" s="305" t="str">
        <f t="shared" si="203"/>
        <v>Fine</v>
      </c>
      <c r="F333" s="305" t="str">
        <f t="shared" si="203"/>
        <v>Encumbered</v>
      </c>
      <c r="G333" s="305" t="str">
        <f t="shared" si="203"/>
        <v>Fine</v>
      </c>
      <c r="H333" s="1097" t="str">
        <f t="shared" si="203"/>
        <v>Fine</v>
      </c>
      <c r="I333" s="306" t="str">
        <f t="shared" ref="I333" si="204">IF(I329&gt;I331+5,IF(I329&gt;I331+10,"Cannot carry","Encumbered"),"Fine")</f>
        <v>Fine</v>
      </c>
    </row>
    <row r="334" spans="1:9" ht="15.75" thickBot="1" x14ac:dyDescent="0.3">
      <c r="H334" s="130"/>
      <c r="I334" s="812"/>
    </row>
    <row r="335" spans="1:9" hidden="1" outlineLevel="1" x14ac:dyDescent="0.25">
      <c r="A335" s="1521" t="s">
        <v>1087</v>
      </c>
      <c r="B335" s="626">
        <v>1</v>
      </c>
      <c r="C335" s="293">
        <v>1</v>
      </c>
      <c r="D335" s="293">
        <v>2</v>
      </c>
      <c r="E335" s="293">
        <v>3</v>
      </c>
      <c r="F335" s="293"/>
      <c r="G335" s="293">
        <v>1</v>
      </c>
      <c r="H335" s="1098">
        <v>3</v>
      </c>
      <c r="I335" s="294">
        <v>1</v>
      </c>
    </row>
    <row r="336" spans="1:9" s="460" customFormat="1" hidden="1" outlineLevel="1" x14ac:dyDescent="0.25">
      <c r="A336" s="1522" t="s">
        <v>1088</v>
      </c>
      <c r="B336" s="1526">
        <v>1</v>
      </c>
      <c r="C336" s="1517"/>
      <c r="D336" s="1519">
        <v>1</v>
      </c>
      <c r="E336" s="1517"/>
      <c r="F336" s="1517"/>
      <c r="G336" s="1519">
        <v>1</v>
      </c>
      <c r="H336" s="1519">
        <v>1</v>
      </c>
      <c r="I336" s="1518"/>
    </row>
    <row r="337" spans="1:12" hidden="1" outlineLevel="1" x14ac:dyDescent="0.25">
      <c r="A337" s="1523" t="s">
        <v>330</v>
      </c>
      <c r="B337" s="322" t="s">
        <v>331</v>
      </c>
      <c r="C337" s="303" t="s">
        <v>332</v>
      </c>
      <c r="D337" s="303" t="s">
        <v>331</v>
      </c>
      <c r="E337" s="303" t="s">
        <v>209</v>
      </c>
      <c r="F337" s="303" t="s">
        <v>332</v>
      </c>
      <c r="G337" s="303" t="s">
        <v>331</v>
      </c>
      <c r="H337" s="822" t="s">
        <v>209</v>
      </c>
      <c r="I337" s="307" t="s">
        <v>331</v>
      </c>
    </row>
    <row r="338" spans="1:12" hidden="1" outlineLevel="1" x14ac:dyDescent="0.25">
      <c r="A338" s="1523" t="s">
        <v>324</v>
      </c>
      <c r="B338" s="322" t="str">
        <f>Skills!B$154</f>
        <v>Trained</v>
      </c>
      <c r="C338" s="303" t="str">
        <f>Skills!C$160</f>
        <v>Trained</v>
      </c>
      <c r="D338" s="303" t="str">
        <f>Skills!D$160</f>
        <v>Trained</v>
      </c>
      <c r="E338" s="303" t="str">
        <f>Skills!E$156</f>
        <v>Trained</v>
      </c>
      <c r="F338" s="303" t="str">
        <f>Skills!F$160</f>
        <v>Trained</v>
      </c>
      <c r="G338" s="303" t="str">
        <f>Skills!G$154</f>
        <v>Trained</v>
      </c>
      <c r="H338" s="822" t="str">
        <f>Skills!H$156</f>
        <v>Trained</v>
      </c>
      <c r="I338" s="307" t="str">
        <f>Skills!I$154</f>
        <v>Trained</v>
      </c>
    </row>
    <row r="339" spans="1:12" hidden="1" outlineLevel="1" x14ac:dyDescent="0.25">
      <c r="A339" s="1523" t="s">
        <v>297</v>
      </c>
      <c r="B339" s="324"/>
      <c r="C339" s="291"/>
      <c r="D339" s="291"/>
      <c r="E339" s="291"/>
      <c r="F339" s="291"/>
      <c r="G339" s="291"/>
      <c r="H339" s="1099">
        <v>2</v>
      </c>
      <c r="I339" s="295"/>
    </row>
    <row r="340" spans="1:12" hidden="1" outlineLevel="1" x14ac:dyDescent="0.25">
      <c r="A340" s="1523" t="s">
        <v>324</v>
      </c>
      <c r="B340" s="324">
        <f>IF(B337="Light",Skills!B32,0)+IF(B337="Medium",Skills!B33,0)+IF(B337="Heavy",Skills!B34,0)+IF(B337="No",Skills!B35,0)</f>
        <v>7</v>
      </c>
      <c r="C340" s="291">
        <f>IF(C337="Light",Skills!C32,0)+IF(C337="Medium",Skills!C33,0)+IF(C337="Heavy",Skills!C34,0)+IF(C337="No",Skills!C35,0)</f>
        <v>7</v>
      </c>
      <c r="D340" s="291">
        <f>IF(D337="Light",Skills!D32,0)+IF(D337="Medium",Skills!D33,0)+IF(D337="Heavy",Skills!D34,0)+IF(D337="No",Skills!D35,0)</f>
        <v>7</v>
      </c>
      <c r="E340" s="291">
        <f>IF(E337="Light",Skills!E32,0)+IF(E337="Medium",Skills!E33,0)+IF(E337="Heavy",Skills!E34,0)+IF(E337="No",Skills!E35,0)</f>
        <v>7</v>
      </c>
      <c r="F340" s="291">
        <f>IF(F337="Light",Skills!F32,0)+IF(F337="Medium",Skills!F33,0)+IF(F337="Heavy",Skills!F34,0)+IF(F337="No",Skills!F35,0)</f>
        <v>7</v>
      </c>
      <c r="G340" s="291">
        <f>IF(G337="Light",Skills!G32,0)+IF(G337="Medium",Skills!G33,0)+IF(G337="Heavy",Skills!G34,0)+IF(G337="No",Skills!G35,0)</f>
        <v>7</v>
      </c>
      <c r="H340" s="1099">
        <f>IF(H337="Light",Skills!H32,0)+IF(H337="Medium",Skills!H33,0)+IF(H337="Heavy",Skills!H34,0)+IF(H337="No",Skills!H35,0)</f>
        <v>7</v>
      </c>
      <c r="I340" s="295">
        <f>IF(I337="Light",Skills!I32,0)+IF(I337="Medium",Skills!I33,0)+IF(I337="Heavy",Skills!I34,0)+IF(I337="No",Skills!I35,0)</f>
        <v>7</v>
      </c>
    </row>
    <row r="341" spans="1:12" hidden="1" outlineLevel="1" x14ac:dyDescent="0.25">
      <c r="A341" s="1523" t="s">
        <v>325</v>
      </c>
      <c r="B341" s="324">
        <f>Stats!B12</f>
        <v>3</v>
      </c>
      <c r="C341" s="291">
        <f>Stats!C12</f>
        <v>2</v>
      </c>
      <c r="D341" s="291">
        <f>Stats!D12</f>
        <v>2</v>
      </c>
      <c r="E341" s="291">
        <f>Stats!E12</f>
        <v>3</v>
      </c>
      <c r="F341" s="291">
        <f>Stats!F12</f>
        <v>3</v>
      </c>
      <c r="G341" s="291">
        <f>Stats!G12</f>
        <v>4</v>
      </c>
      <c r="H341" s="1099">
        <f>Stats!H12</f>
        <v>2</v>
      </c>
      <c r="I341" s="295">
        <f>Stats!I12</f>
        <v>4</v>
      </c>
    </row>
    <row r="342" spans="1:12" ht="15.75" hidden="1" outlineLevel="1" thickBot="1" x14ac:dyDescent="0.3">
      <c r="A342" s="1524" t="s">
        <v>326</v>
      </c>
      <c r="B342" s="327">
        <v>4</v>
      </c>
      <c r="C342" s="297">
        <v>5</v>
      </c>
      <c r="D342" s="297">
        <v>3</v>
      </c>
      <c r="E342" s="297">
        <v>2</v>
      </c>
      <c r="F342" s="625"/>
      <c r="G342" s="297">
        <v>4</v>
      </c>
      <c r="H342" s="1100">
        <v>2</v>
      </c>
      <c r="I342" s="298">
        <v>4</v>
      </c>
    </row>
    <row r="343" spans="1:12" ht="15.75" collapsed="1" thickBot="1" x14ac:dyDescent="0.3">
      <c r="A343" s="1525" t="s">
        <v>333</v>
      </c>
      <c r="B343" s="327" t="str">
        <f>CONCATENATE(10+B335+B336+B340+MIN(B341,B342),IF(B339&gt;0,CONCATENATE("/+",B339),""))</f>
        <v>22</v>
      </c>
      <c r="C343" s="297" t="str">
        <f t="shared" ref="C343:I343" si="205">CONCATENATE(10+C335+C336+C340+MIN(C341,C342),IF(C339&gt;0,CONCATENATE("/+",C339),""))</f>
        <v>20</v>
      </c>
      <c r="D343" s="297" t="str">
        <f t="shared" si="205"/>
        <v>22</v>
      </c>
      <c r="E343" s="297" t="str">
        <f t="shared" si="205"/>
        <v>22</v>
      </c>
      <c r="F343" s="297" t="str">
        <f t="shared" si="205"/>
        <v>20</v>
      </c>
      <c r="G343" s="297" t="str">
        <f t="shared" si="205"/>
        <v>23</v>
      </c>
      <c r="H343" s="1100" t="str">
        <f t="shared" si="205"/>
        <v>23/+2</v>
      </c>
      <c r="I343" s="298" t="str">
        <f t="shared" si="205"/>
        <v>22</v>
      </c>
    </row>
    <row r="344" spans="1:12" ht="15.75" hidden="1" outlineLevel="1" thickBot="1" x14ac:dyDescent="0.3">
      <c r="A344" s="288"/>
      <c r="B344" s="596"/>
      <c r="C344" s="130"/>
      <c r="D344" s="130"/>
      <c r="E344" s="130"/>
      <c r="F344" s="130"/>
      <c r="G344" s="130"/>
      <c r="H344" s="130"/>
      <c r="I344" s="812"/>
    </row>
    <row r="345" spans="1:12" hidden="1" outlineLevel="1" x14ac:dyDescent="0.25">
      <c r="A345" s="1521" t="s">
        <v>327</v>
      </c>
      <c r="B345" s="626">
        <v>10</v>
      </c>
      <c r="C345" s="293">
        <v>0</v>
      </c>
      <c r="D345" s="293">
        <v>12</v>
      </c>
      <c r="E345" s="293">
        <v>14</v>
      </c>
      <c r="F345" s="293">
        <v>0</v>
      </c>
      <c r="G345" s="293">
        <v>10</v>
      </c>
      <c r="H345" s="1098">
        <v>14</v>
      </c>
      <c r="I345" s="294">
        <v>10</v>
      </c>
      <c r="J345" s="460"/>
      <c r="K345" s="460"/>
      <c r="L345" s="460"/>
    </row>
    <row r="346" spans="1:12" hidden="1" outlineLevel="1" x14ac:dyDescent="0.25">
      <c r="A346" s="1523" t="s">
        <v>329</v>
      </c>
      <c r="B346" s="324">
        <v>-1</v>
      </c>
      <c r="C346" s="291">
        <v>0</v>
      </c>
      <c r="D346" s="291">
        <v>-1</v>
      </c>
      <c r="E346" s="291">
        <v>-2</v>
      </c>
      <c r="F346" s="291">
        <v>0</v>
      </c>
      <c r="G346" s="291">
        <v>-1</v>
      </c>
      <c r="H346" s="1099">
        <v>-2</v>
      </c>
      <c r="I346" s="295">
        <v>-1</v>
      </c>
      <c r="J346" s="460"/>
      <c r="K346" s="460"/>
      <c r="L346" s="460"/>
    </row>
    <row r="347" spans="1:12" ht="15.75" collapsed="1" thickBot="1" x14ac:dyDescent="0.3">
      <c r="A347" s="1524" t="s">
        <v>328</v>
      </c>
      <c r="B347" s="327">
        <f>IF(Stats!B2&lt;B345,B346,0)</f>
        <v>0</v>
      </c>
      <c r="C347" s="297">
        <f>IF(Stats!C2&lt;C345,C346,0)</f>
        <v>0</v>
      </c>
      <c r="D347" s="297">
        <f>IF(Stats!D2&lt;D345,D346,0)</f>
        <v>0</v>
      </c>
      <c r="E347" s="297">
        <f>IF(Stats!E2&lt;E345,E346,0)</f>
        <v>0</v>
      </c>
      <c r="F347" s="297">
        <f>IF(Stats!F2&lt;F345,F346,0)</f>
        <v>0</v>
      </c>
      <c r="G347" s="297">
        <f>IF(Stats!G2&lt;G345,G346,0)</f>
        <v>0</v>
      </c>
      <c r="H347" s="1100">
        <f>IF(Stats!H2&lt;H345,H346,0)</f>
        <v>0</v>
      </c>
      <c r="I347" s="298">
        <f>IF(Stats!I2&lt;I345,I346,0)</f>
        <v>0</v>
      </c>
      <c r="J347" s="460"/>
      <c r="K347" s="460"/>
      <c r="L347" s="460"/>
    </row>
    <row r="348" spans="1:12" ht="15.75" thickBot="1" x14ac:dyDescent="0.3">
      <c r="H348" s="130"/>
      <c r="I348" s="812"/>
      <c r="J348" s="460"/>
      <c r="K348" s="460"/>
      <c r="L348" s="460"/>
    </row>
    <row r="349" spans="1:12" ht="15.75" thickBot="1" x14ac:dyDescent="0.3">
      <c r="A349" s="315" t="s">
        <v>81</v>
      </c>
      <c r="B349" s="334" t="s">
        <v>365</v>
      </c>
      <c r="C349" s="1247" t="s">
        <v>950</v>
      </c>
      <c r="D349" s="335" t="s">
        <v>375</v>
      </c>
      <c r="E349" s="335" t="s">
        <v>966</v>
      </c>
      <c r="F349" s="332" t="s">
        <v>250</v>
      </c>
      <c r="G349" s="1247" t="s">
        <v>973</v>
      </c>
      <c r="H349" s="1101" t="s">
        <v>710</v>
      </c>
      <c r="I349" s="336" t="s">
        <v>365</v>
      </c>
      <c r="J349" s="460"/>
      <c r="K349" s="460"/>
      <c r="L349" s="460"/>
    </row>
    <row r="350" spans="1:12" hidden="1" outlineLevel="1" x14ac:dyDescent="0.25">
      <c r="A350" s="314" t="s">
        <v>330</v>
      </c>
      <c r="B350" s="321" t="s">
        <v>354</v>
      </c>
      <c r="C350" s="316" t="s">
        <v>354</v>
      </c>
      <c r="D350" s="316" t="s">
        <v>354</v>
      </c>
      <c r="E350" s="316" t="s">
        <v>354</v>
      </c>
      <c r="F350" s="316" t="s">
        <v>354</v>
      </c>
      <c r="G350" s="316" t="s">
        <v>354</v>
      </c>
      <c r="H350" s="1102" t="s">
        <v>354</v>
      </c>
      <c r="I350" s="317" t="s">
        <v>354</v>
      </c>
      <c r="J350" s="460"/>
      <c r="K350" s="460"/>
      <c r="L350" s="460"/>
    </row>
    <row r="351" spans="1:12" hidden="1" outlineLevel="1" collapsed="1" x14ac:dyDescent="0.25">
      <c r="A351" s="310" t="s">
        <v>336</v>
      </c>
      <c r="B351" s="323" t="s">
        <v>366</v>
      </c>
      <c r="C351" s="303" t="s">
        <v>359</v>
      </c>
      <c r="D351" s="303" t="s">
        <v>689</v>
      </c>
      <c r="E351" s="303" t="s">
        <v>359</v>
      </c>
      <c r="F351" s="303" t="s">
        <v>359</v>
      </c>
      <c r="G351" s="303" t="s">
        <v>359</v>
      </c>
      <c r="H351" s="303" t="s">
        <v>359</v>
      </c>
      <c r="I351" s="338" t="s">
        <v>366</v>
      </c>
      <c r="J351" s="460"/>
      <c r="K351" s="460"/>
      <c r="L351" s="460"/>
    </row>
    <row r="352" spans="1:12" collapsed="1" x14ac:dyDescent="0.25">
      <c r="A352" s="310" t="s">
        <v>334</v>
      </c>
      <c r="B352" s="919" t="s">
        <v>367</v>
      </c>
      <c r="C352" s="308" t="s">
        <v>355</v>
      </c>
      <c r="D352" s="308" t="s">
        <v>380</v>
      </c>
      <c r="E352" s="308" t="s">
        <v>34</v>
      </c>
      <c r="F352" s="308" t="s">
        <v>384</v>
      </c>
      <c r="G352" s="308" t="s">
        <v>393</v>
      </c>
      <c r="H352" s="1103" t="s">
        <v>391</v>
      </c>
      <c r="I352" s="925" t="s">
        <v>367</v>
      </c>
      <c r="J352" s="460"/>
      <c r="K352" s="460"/>
      <c r="L352" s="460"/>
    </row>
    <row r="353" spans="1:12" x14ac:dyDescent="0.25">
      <c r="A353" s="310" t="s">
        <v>334</v>
      </c>
      <c r="B353" s="785" t="s">
        <v>374</v>
      </c>
      <c r="C353" s="786" t="s">
        <v>374</v>
      </c>
      <c r="D353" s="786" t="s">
        <v>374</v>
      </c>
      <c r="E353" s="308" t="s">
        <v>380</v>
      </c>
      <c r="F353" s="308" t="s">
        <v>380</v>
      </c>
      <c r="G353" s="308" t="s">
        <v>392</v>
      </c>
      <c r="H353" s="1104" t="s">
        <v>374</v>
      </c>
      <c r="I353" s="850" t="s">
        <v>374</v>
      </c>
      <c r="J353" s="460"/>
      <c r="K353" s="460"/>
      <c r="L353" s="460"/>
    </row>
    <row r="354" spans="1:12" x14ac:dyDescent="0.25">
      <c r="A354" s="310" t="s">
        <v>334</v>
      </c>
      <c r="B354" s="785" t="s">
        <v>374</v>
      </c>
      <c r="C354" s="786" t="s">
        <v>374</v>
      </c>
      <c r="D354" s="786" t="s">
        <v>374</v>
      </c>
      <c r="E354" s="308" t="s">
        <v>967</v>
      </c>
      <c r="F354" s="786" t="s">
        <v>374</v>
      </c>
      <c r="G354" s="921" t="s">
        <v>367</v>
      </c>
      <c r="H354" s="1104" t="s">
        <v>374</v>
      </c>
      <c r="I354" s="850" t="s">
        <v>374</v>
      </c>
      <c r="J354" s="460"/>
      <c r="K354" s="460"/>
      <c r="L354" s="460"/>
    </row>
    <row r="355" spans="1:12" s="460" customFormat="1" hidden="1" outlineLevel="1" x14ac:dyDescent="0.25">
      <c r="A355" s="310" t="s">
        <v>334</v>
      </c>
      <c r="B355" s="785" t="s">
        <v>374</v>
      </c>
      <c r="C355" s="786" t="s">
        <v>374</v>
      </c>
      <c r="D355" s="786" t="s">
        <v>374</v>
      </c>
      <c r="E355" s="308" t="s">
        <v>968</v>
      </c>
      <c r="F355" s="786" t="s">
        <v>374</v>
      </c>
      <c r="G355" s="786" t="s">
        <v>374</v>
      </c>
      <c r="H355" s="1104" t="s">
        <v>374</v>
      </c>
      <c r="I355" s="850" t="s">
        <v>374</v>
      </c>
    </row>
    <row r="356" spans="1:12" s="460" customFormat="1" hidden="1" outlineLevel="1" x14ac:dyDescent="0.25">
      <c r="A356" s="310" t="s">
        <v>334</v>
      </c>
      <c r="B356" s="785" t="s">
        <v>374</v>
      </c>
      <c r="C356" s="786" t="s">
        <v>374</v>
      </c>
      <c r="D356" s="786" t="s">
        <v>374</v>
      </c>
      <c r="E356" s="786" t="s">
        <v>374</v>
      </c>
      <c r="F356" s="786" t="s">
        <v>374</v>
      </c>
      <c r="G356" s="786" t="s">
        <v>374</v>
      </c>
      <c r="H356" s="1105" t="s">
        <v>436</v>
      </c>
      <c r="I356" s="850" t="s">
        <v>374</v>
      </c>
    </row>
    <row r="357" spans="1:12" hidden="1" outlineLevel="1" x14ac:dyDescent="0.25">
      <c r="A357" s="310" t="s">
        <v>337</v>
      </c>
      <c r="B357" s="322" t="s">
        <v>353</v>
      </c>
      <c r="C357" s="303" t="s">
        <v>356</v>
      </c>
      <c r="D357" s="303" t="s">
        <v>381</v>
      </c>
      <c r="E357" s="303" t="s">
        <v>360</v>
      </c>
      <c r="F357" s="303" t="s">
        <v>353</v>
      </c>
      <c r="G357" s="303" t="s">
        <v>353</v>
      </c>
      <c r="H357" s="822" t="s">
        <v>360</v>
      </c>
      <c r="I357" s="307" t="s">
        <v>353</v>
      </c>
      <c r="J357" s="460"/>
      <c r="K357" s="460"/>
      <c r="L357" s="460"/>
    </row>
    <row r="358" spans="1:12" hidden="1" outlineLevel="1" x14ac:dyDescent="0.25">
      <c r="A358" s="310" t="s">
        <v>347</v>
      </c>
      <c r="B358" s="322" t="s">
        <v>348</v>
      </c>
      <c r="C358" s="303" t="s">
        <v>357</v>
      </c>
      <c r="D358" s="303" t="s">
        <v>382</v>
      </c>
      <c r="E358" s="303" t="s">
        <v>382</v>
      </c>
      <c r="F358" s="303" t="s">
        <v>382</v>
      </c>
      <c r="G358" s="303" t="s">
        <v>348</v>
      </c>
      <c r="H358" s="822" t="s">
        <v>382</v>
      </c>
      <c r="I358" s="307" t="s">
        <v>348</v>
      </c>
      <c r="J358" s="460"/>
      <c r="K358" s="460"/>
      <c r="L358" s="460"/>
    </row>
    <row r="359" spans="1:12" hidden="1" outlineLevel="1" x14ac:dyDescent="0.25">
      <c r="A359" s="310" t="s">
        <v>338</v>
      </c>
      <c r="B359" s="324">
        <v>1</v>
      </c>
      <c r="C359" s="291">
        <v>1</v>
      </c>
      <c r="D359" s="291">
        <v>2</v>
      </c>
      <c r="E359" s="291">
        <v>1</v>
      </c>
      <c r="F359" s="291">
        <v>1</v>
      </c>
      <c r="G359" s="291">
        <v>1</v>
      </c>
      <c r="H359" s="1099">
        <v>1</v>
      </c>
      <c r="I359" s="295">
        <v>1</v>
      </c>
      <c r="J359" s="460"/>
      <c r="K359" s="460"/>
      <c r="L359" s="460"/>
    </row>
    <row r="360" spans="1:12" s="460" customFormat="1" hidden="1" outlineLevel="1" x14ac:dyDescent="0.25">
      <c r="A360" s="310" t="s">
        <v>344</v>
      </c>
      <c r="B360" s="785" t="s">
        <v>374</v>
      </c>
      <c r="C360" s="786" t="s">
        <v>374</v>
      </c>
      <c r="D360" s="786" t="s">
        <v>374</v>
      </c>
      <c r="E360" s="786" t="s">
        <v>374</v>
      </c>
      <c r="F360" s="786" t="s">
        <v>374</v>
      </c>
      <c r="G360" s="786" t="s">
        <v>374</v>
      </c>
      <c r="H360" s="1104" t="s">
        <v>374</v>
      </c>
      <c r="I360" s="850" t="s">
        <v>374</v>
      </c>
    </row>
    <row r="361" spans="1:12" s="460" customFormat="1" hidden="1" outlineLevel="1" x14ac:dyDescent="0.25">
      <c r="A361" s="310" t="s">
        <v>349</v>
      </c>
      <c r="B361" s="785" t="s">
        <v>374</v>
      </c>
      <c r="C361" s="786" t="s">
        <v>374</v>
      </c>
      <c r="D361" s="786" t="s">
        <v>374</v>
      </c>
      <c r="E361" s="786" t="s">
        <v>374</v>
      </c>
      <c r="F361" s="786" t="s">
        <v>374</v>
      </c>
      <c r="G361" s="786" t="s">
        <v>374</v>
      </c>
      <c r="H361" s="1104" t="s">
        <v>374</v>
      </c>
      <c r="I361" s="850" t="s">
        <v>374</v>
      </c>
    </row>
    <row r="362" spans="1:12" hidden="1" outlineLevel="1" x14ac:dyDescent="0.25">
      <c r="A362" s="310" t="s">
        <v>339</v>
      </c>
      <c r="B362" s="322"/>
      <c r="C362" s="291">
        <v>1</v>
      </c>
      <c r="D362" s="291">
        <v>2</v>
      </c>
      <c r="E362" s="291">
        <v>2</v>
      </c>
      <c r="F362" s="291">
        <v>1</v>
      </c>
      <c r="G362" s="291">
        <v>1</v>
      </c>
      <c r="H362" s="1099">
        <v>1</v>
      </c>
      <c r="I362" s="307"/>
      <c r="J362" s="460"/>
      <c r="K362" s="460"/>
      <c r="L362" s="460"/>
    </row>
    <row r="363" spans="1:12" ht="15.75" collapsed="1" thickBot="1" x14ac:dyDescent="0.3">
      <c r="A363" s="312" t="s">
        <v>335</v>
      </c>
      <c r="B363" s="325" t="s">
        <v>369</v>
      </c>
      <c r="C363" s="319" t="s">
        <v>358</v>
      </c>
      <c r="D363" s="319" t="s">
        <v>383</v>
      </c>
      <c r="E363" s="319" t="s">
        <v>383</v>
      </c>
      <c r="F363" s="319" t="s">
        <v>385</v>
      </c>
      <c r="G363" s="319" t="s">
        <v>385</v>
      </c>
      <c r="H363" s="1106" t="s">
        <v>385</v>
      </c>
      <c r="I363" s="339" t="s">
        <v>369</v>
      </c>
      <c r="J363" s="460"/>
      <c r="K363" s="460"/>
      <c r="L363" s="460"/>
    </row>
    <row r="364" spans="1:12" ht="15.75" hidden="1" outlineLevel="1" thickBot="1" x14ac:dyDescent="0.3">
      <c r="A364" s="315" t="s">
        <v>343</v>
      </c>
      <c r="B364" s="320" t="str">
        <f>B370&amp;"/"&amp;(B370+B371)&amp;"/"&amp;(B370+2*B371)</f>
        <v>10/5/0</v>
      </c>
      <c r="C364" s="318" t="str">
        <f t="shared" ref="C364:H364" si="206">C370&amp;"/"&amp;(C370+C371)&amp;"/"&amp;(C370+2*C371)</f>
        <v>8/3/-2</v>
      </c>
      <c r="D364" s="318" t="str">
        <f t="shared" si="206"/>
        <v>9/4/-1</v>
      </c>
      <c r="E364" s="318" t="str">
        <f t="shared" si="206"/>
        <v>13/8/3</v>
      </c>
      <c r="F364" s="318" t="str">
        <f t="shared" si="206"/>
        <v>7/2/-3</v>
      </c>
      <c r="G364" s="318" t="str">
        <f t="shared" si="206"/>
        <v>14/9/4</v>
      </c>
      <c r="H364" s="1107" t="str">
        <f t="shared" si="206"/>
        <v>15/10/5</v>
      </c>
      <c r="I364" s="342" t="str">
        <f>I370&amp;"/"&amp;(I370+I371)&amp;"/"&amp;(I370+2*I371)</f>
        <v>13/8/3</v>
      </c>
      <c r="J364" s="460"/>
      <c r="K364" s="460"/>
      <c r="L364" s="460"/>
    </row>
    <row r="365" spans="1:12" hidden="1" outlineLevel="1" x14ac:dyDescent="0.25">
      <c r="A365" s="349" t="s">
        <v>79</v>
      </c>
      <c r="B365" s="920" t="s">
        <v>234</v>
      </c>
      <c r="C365" s="309" t="s">
        <v>10</v>
      </c>
      <c r="D365" s="309" t="s">
        <v>10</v>
      </c>
      <c r="E365" s="309" t="s">
        <v>10</v>
      </c>
      <c r="F365" s="309" t="s">
        <v>10</v>
      </c>
      <c r="G365" s="922" t="s">
        <v>234</v>
      </c>
      <c r="H365" s="1108" t="s">
        <v>10</v>
      </c>
      <c r="I365" s="927" t="s">
        <v>234</v>
      </c>
      <c r="J365" s="460"/>
      <c r="K365" s="460"/>
      <c r="L365" s="460"/>
    </row>
    <row r="366" spans="1:12" hidden="1" outlineLevel="1" x14ac:dyDescent="0.25">
      <c r="A366" s="310" t="s">
        <v>324</v>
      </c>
      <c r="B366" s="322" t="str">
        <f>IF(B351="Simple",Skills!B$137,"")&amp;IF(B351="Martial",Skills!B$139,"")&amp;IF(B351="Advanced",Skills!B$141,"")&amp;IF(B351="Bomb",Skills!B$143,"")&amp;IF(B351="Unarmed",Skills!B$145,"")&amp;IF(B351="Specific 1",Skills!B$147,"")&amp;IF(B351="Specific 2",Skills!B$150,"")</f>
        <v>Trained</v>
      </c>
      <c r="C366" s="303" t="str">
        <f>IF(C351="Simple",Skills!C$137,"")&amp;IF(C351="Martial",Skills!C$139,"")&amp;IF(C351="Advanced",Skills!C$141,"")&amp;IF(C351="Bomb",Skills!C$143,"")&amp;IF(C351="Unarmed",Skills!C$145,"")&amp;IF(C351="Specific 1",Skills!C$147,"")&amp;IF(C351="Specific 2",Skills!C$150,"")</f>
        <v>Trained</v>
      </c>
      <c r="D366" s="303" t="str">
        <f>IF(D351="Simple",Skills!D$137,"")&amp;IF(D351="Martial",Skills!D$139,"")&amp;IF(D351="Advanced",Skills!D$141,"")&amp;IF(D351="Bomb",Skills!D$143,"")&amp;IF(D351="Unarmed",Skills!D$145,"")&amp;IF(D351="Specific 1",Skills!D$147,"")&amp;IF(D351="Specific 2",Skills!D$150,"")</f>
        <v>Trained</v>
      </c>
      <c r="E366" s="303" t="str">
        <f>IF(E351="Simple",Skills!E$137,"")&amp;IF(E351="Martial",Skills!E$139,"")&amp;IF(E351="Advanced",Skills!E$141,"")&amp;IF(E351="Bomb",Skills!E$143,"")&amp;IF(E351="Unarmed",Skills!E$145,"")&amp;IF(E351="Specific 1",Skills!E$147,"")&amp;IF(E351="Specific 2",Skills!E$150,"")</f>
        <v>Expert</v>
      </c>
      <c r="F366" s="303" t="str">
        <f>IF(F351="Simple",Skills!F$137,"")&amp;IF(F351="Martial",Skills!F$139,"")&amp;IF(F351="Advanced",Skills!F$141,"")&amp;IF(F351="Bomb",Skills!F$143,"")&amp;IF(F351="Unarmed",Skills!F$145,"")&amp;IF(F351="Specific 1",Skills!F$147,"")&amp;IF(F351="Specific 2",Skills!F$150,"")</f>
        <v>Trained</v>
      </c>
      <c r="G366" s="303" t="str">
        <f>IF(G351="Simple",Skills!G$137,"")&amp;IF(G351="Martial",Skills!G$139,"")&amp;IF(G351="Advanced",Skills!G$141,"")&amp;IF(G351="Bomb",Skills!G$143,"")&amp;IF(G351="Unarmed",Skills!G$145,"")&amp;IF(G351="Specific 1",Skills!G$147,"")&amp;IF(G351="Specific 2",Skills!G$150,"")</f>
        <v>Expert</v>
      </c>
      <c r="H366" s="822" t="str">
        <f>IF(H351="Simple",Skills!H$137,"")&amp;IF(H351="Martial",Skills!H$139,"")&amp;IF(H351="Advanced",Skills!H$141,"")&amp;IF(H351="Bomb",Skills!H$143,"")&amp;IF(H351="Unarmed",Skills!H$145,"")&amp;IF(H351="Specific 1",Skills!H$147,"")&amp;IF(H351="Specific 2",Skills!H$150,"")</f>
        <v>Master</v>
      </c>
      <c r="I366" s="307" t="str">
        <f>IF(I351="Simple",Skills!I$137,"")&amp;IF(I351="Martial",Skills!I$139,"")&amp;IF(I351="Advanced",Skills!I$141,"")&amp;IF(I351="Bomb",Skills!I$143,"")&amp;IF(I351="Unarmed",Skills!I$145,"")&amp;IF(I351="Specific 1",Skills!I$147,"")&amp;IF(I351="Specific 2",Skills!I$150,"")</f>
        <v>Expert</v>
      </c>
      <c r="J366" s="460"/>
      <c r="K366" s="460"/>
      <c r="L366" s="460"/>
    </row>
    <row r="367" spans="1:12" hidden="1" outlineLevel="1" x14ac:dyDescent="0.25">
      <c r="A367" s="310" t="s">
        <v>341</v>
      </c>
      <c r="B367" s="324">
        <f>IF(B365="STR",Stats!B$11)+IF(B365="DEX",Stats!B$12)+IF(B365="STR/DEX",MAX(Stats!B$11,Stats!B$12))</f>
        <v>3</v>
      </c>
      <c r="C367" s="291">
        <f>IF(C365="STR",Stats!C$11)+IF(C365="DEX",Stats!C$12)+IF(C365="STR/DEX",MAX(Stats!C$11,Stats!C$12))</f>
        <v>0</v>
      </c>
      <c r="D367" s="291">
        <f>IF(D365="STR",Stats!D$11)+IF(D365="DEX",Stats!D$12)+IF(D365="STR/DEX",MAX(Stats!D$11,Stats!D$12))</f>
        <v>2</v>
      </c>
      <c r="E367" s="291">
        <f>IF(E365="STR",Stats!E$11)+IF(E365="DEX",Stats!E$12)+IF(E365="STR/DEX",MAX(Stats!E$11,Stats!E$12))</f>
        <v>4</v>
      </c>
      <c r="F367" s="291">
        <f>IF(F365="STR",Stats!F$11)+IF(F365="DEX",Stats!F$12)+IF(F365="STR/DEX",MAX(Stats!F$11,Stats!F$12))</f>
        <v>0</v>
      </c>
      <c r="G367" s="291">
        <f>IF(G365="STR",Stats!G$11)+IF(G365="DEX",Stats!G$12)+IF(G365="STR/DEX",MAX(Stats!G$11,Stats!G$12))</f>
        <v>4</v>
      </c>
      <c r="H367" s="1099">
        <f>IF(H365="STR",Stats!H$11)+IF(H365="DEX",Stats!H$12)+IF(H365="STR/DEX",MAX(Stats!H$11,Stats!H$12))</f>
        <v>4</v>
      </c>
      <c r="I367" s="295">
        <f>IF(I365="STR",Stats!I$11)+IF(I365="DEX",Stats!I$12)+IF(I365="STR/DEX",MAX(Stats!I$11,Stats!I$12))</f>
        <v>4</v>
      </c>
      <c r="J367" s="460"/>
      <c r="K367" s="460"/>
      <c r="L367" s="460"/>
    </row>
    <row r="368" spans="1:12" hidden="1" outlineLevel="1" x14ac:dyDescent="0.25">
      <c r="A368" s="310" t="s">
        <v>91</v>
      </c>
      <c r="B368" s="324">
        <f>IF(B351="Simple",Skills!B$195,0)+IF(B351="Martial",Skills!B$196,0)+IF(B351="Advanced",Skills!B$197,0)+IF(B351="Bomb",Skills!B$198,0)+IF(B351="Unarmed",Skills!B$199,0)+IF(B351="Specific 1",Skills!B$200,0)+IF(B351="Specific 2",Skills!B$201,0)</f>
        <v>7</v>
      </c>
      <c r="C368" s="291">
        <f>IF(C351="Simple",Skills!C$195,0)+IF(C351="Martial",Skills!C$196,0)+IF(C351="Advanced",Skills!C$197,0)+IF(C351="Bomb",Skills!C$198,0)+IF(C351="Unarmed",Skills!C$199,0)+IF(C351="Specific 1",Skills!C$200,0)+IF(C351="Specific 2",Skills!C$201,0)</f>
        <v>7</v>
      </c>
      <c r="D368" s="291">
        <f>IF(D351="Simple",Skills!D$195,0)+IF(D351="Martial",Skills!D$196,0)+IF(D351="Advanced",Skills!D$197,0)+IF(D351="Bomb",Skills!D$198,0)+IF(D351="Unarmed",Skills!D$199,0)+IF(D351="Specific 1",Skills!D$200,0)+IF(D351="Specific 2",Skills!D$201,0)</f>
        <v>7</v>
      </c>
      <c r="E368" s="291">
        <f>IF(E351="Simple",Skills!E$195,0)+IF(E351="Martial",Skills!E$196,0)+IF(E351="Advanced",Skills!E$197,0)+IF(E351="Bomb",Skills!E$198,0)+IF(E351="Unarmed",Skills!E$199,0)+IF(E351="Specific 1",Skills!E$200,0)+IF(E351="Specific 2",Skills!E$201,0)</f>
        <v>9</v>
      </c>
      <c r="F368" s="291">
        <f>IF(F351="Simple",Skills!F$195,0)+IF(F351="Martial",Skills!F$196,0)+IF(F351="Advanced",Skills!F$197,0)+IF(F351="Bomb",Skills!F$198,0)+IF(F351="Unarmed",Skills!F$199,0)+IF(F351="Specific 1",Skills!F$200,0)+IF(F351="Specific 2",Skills!F$201,0)</f>
        <v>7</v>
      </c>
      <c r="G368" s="291">
        <f>IF(G351="Simple",Skills!G$195,0)+IF(G351="Martial",Skills!G$196,0)+IF(G351="Advanced",Skills!G$197,0)+IF(G351="Bomb",Skills!G$198,0)+IF(G351="Unarmed",Skills!G$199,0)+IF(G351="Specific 1",Skills!G$200,0)+IF(G351="Specific 2",Skills!G$201,0)</f>
        <v>9</v>
      </c>
      <c r="H368" s="1099">
        <f>IF(H351="Simple",Skills!H$195,0)+IF(H351="Martial",Skills!H$196,0)+IF(H351="Advanced",Skills!H$197,0)+IF(H351="Bomb",Skills!H$198,0)+IF(H351="Unarmed",Skills!H$199,0)+IF(H351="Specific 1",Skills!H$200,0)+IF(H351="Specific 2",Skills!H$201,0)</f>
        <v>11</v>
      </c>
      <c r="I368" s="295">
        <f>IF(I351="Simple",Skills!I$195,0)+IF(I351="Martial",Skills!I$196,0)+IF(I351="Advanced",Skills!I$197,0)+IF(I351="Bomb",Skills!I$198,0)+IF(I351="Unarmed",Skills!I$199,0)+IF(I351="Specific 1",Skills!I$200,0)+IF(I351="Specific 2",Skills!I$201,0)</f>
        <v>9</v>
      </c>
      <c r="J368" s="460"/>
      <c r="K368" s="460"/>
      <c r="L368" s="460"/>
    </row>
    <row r="369" spans="1:12" hidden="1" outlineLevel="1" x14ac:dyDescent="0.25">
      <c r="A369" s="310" t="s">
        <v>342</v>
      </c>
      <c r="B369" s="324"/>
      <c r="C369" s="1248">
        <v>1</v>
      </c>
      <c r="D369" s="291"/>
      <c r="E369" s="291"/>
      <c r="F369" s="291"/>
      <c r="G369" s="1248">
        <v>1</v>
      </c>
      <c r="H369" s="1099"/>
      <c r="I369" s="295"/>
      <c r="J369" s="460"/>
      <c r="K369" s="460"/>
      <c r="L369" s="460"/>
    </row>
    <row r="370" spans="1:12" s="460" customFormat="1" hidden="1" outlineLevel="1" x14ac:dyDescent="0.25">
      <c r="A370" s="310" t="s">
        <v>792</v>
      </c>
      <c r="B370" s="324">
        <f>SUM(B367:B369)</f>
        <v>10</v>
      </c>
      <c r="C370" s="291">
        <f t="shared" ref="C370:H370" si="207">SUM(C367:C369)</f>
        <v>8</v>
      </c>
      <c r="D370" s="291">
        <f t="shared" si="207"/>
        <v>9</v>
      </c>
      <c r="E370" s="291">
        <f t="shared" si="207"/>
        <v>13</v>
      </c>
      <c r="F370" s="291">
        <f t="shared" si="207"/>
        <v>7</v>
      </c>
      <c r="G370" s="291">
        <f t="shared" si="207"/>
        <v>14</v>
      </c>
      <c r="H370" s="1099">
        <f t="shared" si="207"/>
        <v>15</v>
      </c>
      <c r="I370" s="295">
        <f>SUM(I367:I369)</f>
        <v>13</v>
      </c>
    </row>
    <row r="371" spans="1:12" s="460" customFormat="1" ht="15.75" hidden="1" outlineLevel="1" thickBot="1" x14ac:dyDescent="0.3">
      <c r="A371" s="311" t="s">
        <v>793</v>
      </c>
      <c r="B371" s="327">
        <v>-5</v>
      </c>
      <c r="C371" s="297">
        <v>-5</v>
      </c>
      <c r="D371" s="297">
        <v>-5</v>
      </c>
      <c r="E371" s="297">
        <v>-5</v>
      </c>
      <c r="F371" s="297">
        <v>-5</v>
      </c>
      <c r="G371" s="297">
        <v>-5</v>
      </c>
      <c r="H371" s="1100">
        <v>-5</v>
      </c>
      <c r="I371" s="298">
        <v>-5</v>
      </c>
    </row>
    <row r="372" spans="1:12" ht="15.75" hidden="1" outlineLevel="1" thickBot="1" x14ac:dyDescent="0.3">
      <c r="A372" s="315" t="s">
        <v>337</v>
      </c>
      <c r="B372" s="346" t="str">
        <f t="shared" ref="B372:H372" si="208">CONCATENATE(B375,B357,"+",B374)</f>
        <v>1d6+0</v>
      </c>
      <c r="C372" s="347" t="str">
        <f t="shared" si="208"/>
        <v>1d4+0</v>
      </c>
      <c r="D372" s="347" t="str">
        <f t="shared" si="208"/>
        <v>1d12+2</v>
      </c>
      <c r="E372" s="347" t="str">
        <f t="shared" si="208"/>
        <v>1d8+4</v>
      </c>
      <c r="F372" s="347" t="str">
        <f t="shared" si="208"/>
        <v>1d6+0</v>
      </c>
      <c r="G372" s="347" t="str">
        <f t="shared" si="208"/>
        <v>2d6+2</v>
      </c>
      <c r="H372" s="1109" t="str">
        <f t="shared" si="208"/>
        <v>1d8+4</v>
      </c>
      <c r="I372" s="348" t="str">
        <f t="shared" ref="I372" si="209">CONCATENATE(I375,I357,"+",I374)</f>
        <v>1d6+4</v>
      </c>
      <c r="J372" s="460"/>
      <c r="K372" s="460"/>
      <c r="L372" s="460"/>
    </row>
    <row r="373" spans="1:12" hidden="1" outlineLevel="1" x14ac:dyDescent="0.25">
      <c r="A373" s="314" t="s">
        <v>79</v>
      </c>
      <c r="B373" s="321" t="s">
        <v>10</v>
      </c>
      <c r="C373" s="316" t="s">
        <v>10</v>
      </c>
      <c r="D373" s="316" t="s">
        <v>10</v>
      </c>
      <c r="E373" s="316" t="s">
        <v>10</v>
      </c>
      <c r="F373" s="316" t="s">
        <v>10</v>
      </c>
      <c r="G373" s="316" t="s">
        <v>10</v>
      </c>
      <c r="H373" s="1102" t="s">
        <v>10</v>
      </c>
      <c r="I373" s="927" t="s">
        <v>234</v>
      </c>
      <c r="J373" s="460"/>
      <c r="K373" s="460"/>
      <c r="L373" s="460"/>
    </row>
    <row r="374" spans="1:12" hidden="1" outlineLevel="1" x14ac:dyDescent="0.25">
      <c r="A374" s="310" t="s">
        <v>341</v>
      </c>
      <c r="B374" s="291">
        <f>IF(B373="STR",Stats!B$11)+IF(B373="DEX",Stats!B$12)+IF(B373="STR/DEX",MAX(Stats!B$11,Stats!B$12))+IF(B373="HALF STR",IF(Stats!B$11&lt;1,Stats!B$11,INT(Stats!B$11/2)))</f>
        <v>0</v>
      </c>
      <c r="C374" s="291">
        <f>IF(C373="STR",Stats!C$11)+IF(C373="DEX",Stats!C$12)+IF(C373="STR/DEX",MAX(Stats!C$11,Stats!C$12))+IF(C373="HALF STR",IF(Stats!C$11&lt;1,Stats!C$11,INT(Stats!C$11/2)))</f>
        <v>0</v>
      </c>
      <c r="D374" s="291">
        <f>IF(D373="STR",Stats!D$11)+IF(D373="DEX",Stats!D$12)+IF(D373="STR/DEX",MAX(Stats!D$11,Stats!D$12))+IF(D373="HALF STR",IF(Stats!D$11&lt;1,Stats!D$11,INT(Stats!D$11/2)))</f>
        <v>2</v>
      </c>
      <c r="E374" s="291">
        <f>IF(E373="STR",Stats!E$11)+IF(E373="DEX",Stats!E$12)+IF(E373="STR/DEX",MAX(Stats!E$11,Stats!E$12))+IF(E373="HALF STR",IF(Stats!E$11&lt;1,Stats!E$11,INT(Stats!E$11/2)))</f>
        <v>4</v>
      </c>
      <c r="F374" s="291">
        <f>IF(F373="STR",Stats!F$11)+IF(F373="DEX",Stats!F$12)+IF(F373="STR/DEX",MAX(Stats!F$11,Stats!F$12))+IF(F373="HALF STR",IF(Stats!F$11&lt;1,Stats!F$11,INT(Stats!F$11/2)))</f>
        <v>0</v>
      </c>
      <c r="G374" s="291">
        <f>IF(G373="STR",Stats!G$11)+IF(G373="DEX",Stats!G$12)+IF(G373="STR/DEX",MAX(Stats!G$11,Stats!G$12))+IF(G373="HALF STR",IF(Stats!G$11&lt;1,Stats!G$11,INT(Stats!G$11/2)))</f>
        <v>2</v>
      </c>
      <c r="H374" s="291">
        <f>IF(H373="STR",Stats!H$11)+IF(H373="DEX",Stats!H$12)+IF(H373="STR/DEX",MAX(Stats!H$11,Stats!H$12))+IF(H373="HALF STR",IF(Stats!H$11&lt;1,Stats!H$11,INT(Stats!H$11/2)))</f>
        <v>4</v>
      </c>
      <c r="I374" s="295">
        <f>IF(I373="STR",Stats!I$11)+IF(I373="DEX",Stats!I$12)+IF(I373="STR/DEX",MAX(Stats!I$11,Stats!I$12))+IF(I373="HALF STR",IF(Stats!I$11&lt;1,Stats!I$11,INT(Stats!I$11/2)))</f>
        <v>4</v>
      </c>
      <c r="J374" s="460"/>
      <c r="K374" s="460"/>
      <c r="L374" s="460"/>
    </row>
    <row r="375" spans="1:12" ht="15.75" hidden="1" outlineLevel="1" thickBot="1" x14ac:dyDescent="0.3">
      <c r="A375" s="311" t="s">
        <v>352</v>
      </c>
      <c r="B375" s="327">
        <v>1</v>
      </c>
      <c r="C375" s="297">
        <v>1</v>
      </c>
      <c r="D375" s="297">
        <v>1</v>
      </c>
      <c r="E375" s="297">
        <v>1</v>
      </c>
      <c r="F375" s="297">
        <v>1</v>
      </c>
      <c r="G375" s="1256">
        <v>2</v>
      </c>
      <c r="H375" s="1100">
        <v>1</v>
      </c>
      <c r="I375" s="298">
        <v>1</v>
      </c>
      <c r="J375" s="460"/>
      <c r="K375" s="460"/>
      <c r="L375" s="460"/>
    </row>
    <row r="376" spans="1:12" ht="15.75" collapsed="1" thickBot="1" x14ac:dyDescent="0.3">
      <c r="A376" s="315" t="s">
        <v>81</v>
      </c>
      <c r="B376" s="331" t="s">
        <v>361</v>
      </c>
      <c r="C376" s="1247" t="s">
        <v>951</v>
      </c>
      <c r="D376" s="332" t="s">
        <v>386</v>
      </c>
      <c r="E376" s="332" t="s">
        <v>213</v>
      </c>
      <c r="F376" s="332" t="s">
        <v>386</v>
      </c>
      <c r="G376" s="1247" t="s">
        <v>974</v>
      </c>
      <c r="H376" s="1247" t="s">
        <v>1064</v>
      </c>
      <c r="I376" s="1261" t="s">
        <v>974</v>
      </c>
      <c r="J376" s="460"/>
      <c r="K376" s="460"/>
      <c r="L376" s="460"/>
    </row>
    <row r="377" spans="1:12" hidden="1" outlineLevel="1" x14ac:dyDescent="0.25">
      <c r="A377" s="314" t="s">
        <v>330</v>
      </c>
      <c r="B377" s="321" t="s">
        <v>354</v>
      </c>
      <c r="C377" s="316" t="s">
        <v>354</v>
      </c>
      <c r="D377" s="316" t="s">
        <v>354</v>
      </c>
      <c r="E377" s="316" t="s">
        <v>354</v>
      </c>
      <c r="F377" s="316" t="s">
        <v>354</v>
      </c>
      <c r="G377" s="316" t="s">
        <v>354</v>
      </c>
      <c r="H377" s="1102" t="s">
        <v>354</v>
      </c>
      <c r="I377" s="317" t="s">
        <v>354</v>
      </c>
      <c r="J377" s="460"/>
      <c r="K377" s="460"/>
      <c r="L377" s="460"/>
    </row>
    <row r="378" spans="1:12" hidden="1" outlineLevel="1" x14ac:dyDescent="0.25">
      <c r="A378" s="310" t="s">
        <v>336</v>
      </c>
      <c r="B378" s="322" t="s">
        <v>345</v>
      </c>
      <c r="C378" s="303" t="s">
        <v>359</v>
      </c>
      <c r="D378" s="303" t="s">
        <v>345</v>
      </c>
      <c r="E378" s="303" t="s">
        <v>345</v>
      </c>
      <c r="F378" s="303" t="s">
        <v>345</v>
      </c>
      <c r="G378" s="303" t="s">
        <v>345</v>
      </c>
      <c r="H378" s="822" t="s">
        <v>345</v>
      </c>
      <c r="I378" s="307" t="s">
        <v>345</v>
      </c>
      <c r="K378" s="460"/>
    </row>
    <row r="379" spans="1:12" collapsed="1" x14ac:dyDescent="0.25">
      <c r="A379" s="310" t="s">
        <v>334</v>
      </c>
      <c r="B379" s="323" t="s">
        <v>372</v>
      </c>
      <c r="C379" s="308" t="s">
        <v>355</v>
      </c>
      <c r="D379" s="923" t="s">
        <v>370</v>
      </c>
      <c r="E379" s="923" t="s">
        <v>370</v>
      </c>
      <c r="F379" s="923" t="s">
        <v>370</v>
      </c>
      <c r="G379" s="923" t="s">
        <v>370</v>
      </c>
      <c r="H379" s="1110" t="s">
        <v>370</v>
      </c>
      <c r="I379" s="924" t="s">
        <v>370</v>
      </c>
      <c r="K379" s="460"/>
    </row>
    <row r="380" spans="1:12" x14ac:dyDescent="0.25">
      <c r="A380" s="310" t="s">
        <v>334</v>
      </c>
      <c r="B380" s="785" t="s">
        <v>374</v>
      </c>
      <c r="C380" s="786" t="s">
        <v>374</v>
      </c>
      <c r="D380" s="921" t="s">
        <v>367</v>
      </c>
      <c r="E380" s="308" t="s">
        <v>34</v>
      </c>
      <c r="F380" s="921" t="s">
        <v>367</v>
      </c>
      <c r="G380" s="921" t="s">
        <v>367</v>
      </c>
      <c r="H380" s="1111" t="s">
        <v>367</v>
      </c>
      <c r="I380" s="925" t="s">
        <v>367</v>
      </c>
      <c r="K380" s="460"/>
    </row>
    <row r="381" spans="1:12" x14ac:dyDescent="0.25">
      <c r="A381" s="310" t="s">
        <v>334</v>
      </c>
      <c r="B381" s="785" t="s">
        <v>374</v>
      </c>
      <c r="C381" s="786" t="s">
        <v>374</v>
      </c>
      <c r="D381" s="308" t="s">
        <v>387</v>
      </c>
      <c r="E381" s="308" t="s">
        <v>376</v>
      </c>
      <c r="F381" s="308" t="s">
        <v>387</v>
      </c>
      <c r="G381" s="308" t="s">
        <v>387</v>
      </c>
      <c r="H381" s="1112" t="s">
        <v>653</v>
      </c>
      <c r="I381" s="338" t="s">
        <v>387</v>
      </c>
      <c r="K381" s="460"/>
    </row>
    <row r="382" spans="1:12" x14ac:dyDescent="0.25">
      <c r="A382" s="310" t="s">
        <v>334</v>
      </c>
      <c r="B382" s="785" t="s">
        <v>374</v>
      </c>
      <c r="C382" s="786" t="s">
        <v>374</v>
      </c>
      <c r="D382" s="330" t="s">
        <v>388</v>
      </c>
      <c r="E382" s="308" t="s">
        <v>377</v>
      </c>
      <c r="F382" s="330" t="s">
        <v>388</v>
      </c>
      <c r="G382" s="330" t="s">
        <v>388</v>
      </c>
      <c r="H382" s="1104" t="s">
        <v>374</v>
      </c>
      <c r="I382" s="337" t="s">
        <v>388</v>
      </c>
      <c r="K382" s="460"/>
    </row>
    <row r="383" spans="1:12" s="460" customFormat="1" hidden="1" outlineLevel="1" x14ac:dyDescent="0.25">
      <c r="A383" s="310" t="s">
        <v>334</v>
      </c>
      <c r="B383" s="785" t="s">
        <v>374</v>
      </c>
      <c r="C383" s="786" t="s">
        <v>374</v>
      </c>
      <c r="D383" s="786" t="s">
        <v>374</v>
      </c>
      <c r="E383" s="786" t="s">
        <v>374</v>
      </c>
      <c r="F383" s="786" t="s">
        <v>374</v>
      </c>
      <c r="G383" s="786" t="s">
        <v>374</v>
      </c>
      <c r="H383" s="1104" t="s">
        <v>374</v>
      </c>
      <c r="I383" s="784" t="s">
        <v>374</v>
      </c>
    </row>
    <row r="384" spans="1:12" hidden="1" outlineLevel="1" x14ac:dyDescent="0.25">
      <c r="A384" s="310" t="s">
        <v>337</v>
      </c>
      <c r="B384" s="322" t="s">
        <v>360</v>
      </c>
      <c r="C384" s="303" t="s">
        <v>360</v>
      </c>
      <c r="D384" s="303" t="s">
        <v>356</v>
      </c>
      <c r="E384" s="303" t="s">
        <v>356</v>
      </c>
      <c r="F384" s="303" t="s">
        <v>356</v>
      </c>
      <c r="G384" s="303" t="s">
        <v>356</v>
      </c>
      <c r="H384" s="822" t="s">
        <v>356</v>
      </c>
      <c r="I384" s="307" t="s">
        <v>356</v>
      </c>
      <c r="K384" s="460"/>
    </row>
    <row r="385" spans="1:11" hidden="1" outlineLevel="1" x14ac:dyDescent="0.25">
      <c r="A385" s="310" t="s">
        <v>347</v>
      </c>
      <c r="B385" s="322" t="s">
        <v>348</v>
      </c>
      <c r="C385" s="303" t="s">
        <v>357</v>
      </c>
      <c r="D385" s="303" t="s">
        <v>348</v>
      </c>
      <c r="E385" s="303" t="s">
        <v>348</v>
      </c>
      <c r="F385" s="303" t="s">
        <v>348</v>
      </c>
      <c r="G385" s="303" t="s">
        <v>348</v>
      </c>
      <c r="H385" s="822" t="s">
        <v>382</v>
      </c>
      <c r="I385" s="307" t="s">
        <v>348</v>
      </c>
      <c r="K385" s="460"/>
    </row>
    <row r="386" spans="1:11" hidden="1" outlineLevel="1" x14ac:dyDescent="0.25">
      <c r="A386" s="310" t="s">
        <v>338</v>
      </c>
      <c r="B386" s="324">
        <v>2</v>
      </c>
      <c r="C386" s="291">
        <v>2</v>
      </c>
      <c r="D386" s="291">
        <v>1</v>
      </c>
      <c r="E386" s="291">
        <v>1</v>
      </c>
      <c r="F386" s="291">
        <v>1</v>
      </c>
      <c r="G386" s="291">
        <v>1</v>
      </c>
      <c r="H386" s="1099">
        <v>1</v>
      </c>
      <c r="I386" s="295">
        <v>1</v>
      </c>
      <c r="K386" s="460"/>
    </row>
    <row r="387" spans="1:11" s="460" customFormat="1" hidden="1" outlineLevel="1" x14ac:dyDescent="0.25">
      <c r="A387" s="310" t="s">
        <v>344</v>
      </c>
      <c r="B387" s="785" t="s">
        <v>374</v>
      </c>
      <c r="C387" s="786" t="s">
        <v>374</v>
      </c>
      <c r="D387" s="786" t="s">
        <v>374</v>
      </c>
      <c r="E387" s="786" t="s">
        <v>374</v>
      </c>
      <c r="F387" s="786" t="s">
        <v>374</v>
      </c>
      <c r="G387" s="786" t="s">
        <v>374</v>
      </c>
      <c r="H387" s="1104" t="s">
        <v>374</v>
      </c>
      <c r="I387" s="784" t="s">
        <v>374</v>
      </c>
    </row>
    <row r="388" spans="1:11" s="460" customFormat="1" hidden="1" outlineLevel="1" x14ac:dyDescent="0.25">
      <c r="A388" s="310" t="s">
        <v>349</v>
      </c>
      <c r="B388" s="785" t="s">
        <v>374</v>
      </c>
      <c r="C388" s="786" t="s">
        <v>374</v>
      </c>
      <c r="D388" s="786" t="s">
        <v>374</v>
      </c>
      <c r="E388" s="786" t="s">
        <v>374</v>
      </c>
      <c r="F388" s="786" t="s">
        <v>374</v>
      </c>
      <c r="G388" s="786" t="s">
        <v>374</v>
      </c>
      <c r="H388" s="1104" t="s">
        <v>374</v>
      </c>
      <c r="I388" s="784" t="s">
        <v>374</v>
      </c>
    </row>
    <row r="389" spans="1:11" hidden="1" outlineLevel="1" x14ac:dyDescent="0.25">
      <c r="A389" s="310" t="s">
        <v>339</v>
      </c>
      <c r="B389" s="322">
        <v>2</v>
      </c>
      <c r="C389" s="291">
        <v>1</v>
      </c>
      <c r="D389" s="303" t="s">
        <v>350</v>
      </c>
      <c r="E389" s="303" t="s">
        <v>350</v>
      </c>
      <c r="F389" s="303" t="s">
        <v>350</v>
      </c>
      <c r="G389" s="303" t="s">
        <v>350</v>
      </c>
      <c r="H389" s="822" t="s">
        <v>350</v>
      </c>
      <c r="I389" s="307" t="s">
        <v>350</v>
      </c>
      <c r="K389" s="460"/>
    </row>
    <row r="390" spans="1:11" ht="15.75" collapsed="1" thickBot="1" x14ac:dyDescent="0.3">
      <c r="A390" s="312" t="s">
        <v>335</v>
      </c>
      <c r="B390" s="325" t="s">
        <v>373</v>
      </c>
      <c r="C390" s="319" t="s">
        <v>358</v>
      </c>
      <c r="D390" s="319" t="s">
        <v>378</v>
      </c>
      <c r="E390" s="319" t="s">
        <v>378</v>
      </c>
      <c r="F390" s="319" t="s">
        <v>378</v>
      </c>
      <c r="G390" s="319" t="s">
        <v>378</v>
      </c>
      <c r="H390" s="1106" t="s">
        <v>378</v>
      </c>
      <c r="I390" s="339" t="s">
        <v>378</v>
      </c>
      <c r="K390" s="460"/>
    </row>
    <row r="391" spans="1:11" ht="15.75" hidden="1" outlineLevel="1" thickBot="1" x14ac:dyDescent="0.3">
      <c r="A391" s="315" t="s">
        <v>343</v>
      </c>
      <c r="B391" s="320" t="str">
        <f>B397&amp;"/"&amp;(B397+B398)&amp;"/"&amp;(B397+2*B398)</f>
        <v>7/2/-3</v>
      </c>
      <c r="C391" s="318" t="str">
        <f t="shared" ref="C391:H391" si="210">C397&amp;"/"&amp;(C397+C398)&amp;"/"&amp;(C397+2*C398)</f>
        <v>8/3/-2</v>
      </c>
      <c r="D391" s="318" t="str">
        <f t="shared" si="210"/>
        <v>9/5/1</v>
      </c>
      <c r="E391" s="318" t="str">
        <f t="shared" si="210"/>
        <v>13/9/5</v>
      </c>
      <c r="F391" s="318" t="str">
        <f t="shared" si="210"/>
        <v>10/6/2</v>
      </c>
      <c r="G391" s="318" t="str">
        <f t="shared" si="210"/>
        <v>14/10/6</v>
      </c>
      <c r="H391" s="1107" t="str">
        <f t="shared" si="210"/>
        <v>14/10/6</v>
      </c>
      <c r="I391" s="342" t="str">
        <f t="shared" ref="I391" si="211">I397&amp;"/"&amp;(I397+I398)&amp;"/"&amp;(I397+2*I398)</f>
        <v>14/10/6</v>
      </c>
      <c r="K391" s="460"/>
    </row>
    <row r="392" spans="1:11" hidden="1" outlineLevel="1" x14ac:dyDescent="0.25">
      <c r="A392" s="349" t="s">
        <v>79</v>
      </c>
      <c r="B392" s="328" t="s">
        <v>10</v>
      </c>
      <c r="C392" s="309" t="s">
        <v>10</v>
      </c>
      <c r="D392" s="922" t="s">
        <v>234</v>
      </c>
      <c r="E392" s="309" t="s">
        <v>10</v>
      </c>
      <c r="F392" s="922" t="s">
        <v>234</v>
      </c>
      <c r="G392" s="922" t="s">
        <v>234</v>
      </c>
      <c r="H392" s="1113" t="s">
        <v>234</v>
      </c>
      <c r="I392" s="927" t="s">
        <v>234</v>
      </c>
      <c r="K392" s="460"/>
    </row>
    <row r="393" spans="1:11" hidden="1" outlineLevel="1" x14ac:dyDescent="0.25">
      <c r="A393" s="310" t="s">
        <v>324</v>
      </c>
      <c r="B393" s="322" t="str">
        <f>IF(B378="Simple",Skills!B$137,"")&amp;IF(B378="Martial",Skills!B$139,"")&amp;IF(B378="Advanced",Skills!B$141,"")&amp;IF(B378="Bomb",Skills!B$143,"")&amp;IF(B378="Unarmed",Skills!B$145,"")&amp;IF(B378="Specific 1",Skills!B$147,"")&amp;IF(B378="Specific 2",Skills!B$150,"")</f>
        <v>Trained</v>
      </c>
      <c r="C393" s="303" t="str">
        <f>IF(C378="Simple",Skills!C$137,"")&amp;IF(C378="Martial",Skills!C$139,"")&amp;IF(C378="Advanced",Skills!C$141,"")&amp;IF(C378="Bomb",Skills!C$143,"")&amp;IF(C378="Unarmed",Skills!C$145,"")&amp;IF(C378="Specific 1",Skills!C$147,"")&amp;IF(C378="Specific 2",Skills!C$150,"")</f>
        <v>Trained</v>
      </c>
      <c r="D393" s="303" t="str">
        <f>IF(D378="Simple",Skills!D$137,"")&amp;IF(D378="Martial",Skills!D$139,"")&amp;IF(D378="Advanced",Skills!D$141,"")&amp;IF(D378="Bomb",Skills!D$143,"")&amp;IF(D378="Unarmed",Skills!D$145,"")&amp;IF(D378="Specific 1",Skills!D$147,"")&amp;IF(D378="Specific 2",Skills!D$150,"")</f>
        <v>Trained</v>
      </c>
      <c r="E393" s="303" t="str">
        <f>IF(E378="Simple",Skills!E$137,"")&amp;IF(E378="Martial",Skills!E$139,"")&amp;IF(E378="Advanced",Skills!E$141,"")&amp;IF(E378="Bomb",Skills!E$143,"")&amp;IF(E378="Unarmed",Skills!E$145,"")&amp;IF(E378="Specific 1",Skills!E$147,"")&amp;IF(E378="Specific 2",Skills!E$150,"")</f>
        <v>Expert</v>
      </c>
      <c r="F393" s="303" t="str">
        <f>IF(F378="Simple",Skills!F$137,"")&amp;IF(F378="Martial",Skills!F$139,"")&amp;IF(F378="Advanced",Skills!F$141,"")&amp;IF(F378="Bomb",Skills!F$143,"")&amp;IF(F378="Unarmed",Skills!F$145,"")&amp;IF(F378="Specific 1",Skills!F$147,"")&amp;IF(F378="Specific 2",Skills!F$150,"")</f>
        <v>Trained</v>
      </c>
      <c r="G393" s="303" t="str">
        <f>IF(G378="Simple",Skills!G$137,"")&amp;IF(G378="Martial",Skills!G$139,"")&amp;IF(G378="Advanced",Skills!G$141,"")&amp;IF(G378="Bomb",Skills!G$143,"")&amp;IF(G378="Unarmed",Skills!G$145,"")&amp;IF(G378="Specific 1",Skills!G$147,"")&amp;IF(G378="Specific 2",Skills!G$150,"")</f>
        <v>Expert</v>
      </c>
      <c r="H393" s="822" t="str">
        <f>IF(H378="Simple",Skills!H$137,"")&amp;IF(H378="Martial",Skills!H$139,"")&amp;IF(H378="Advanced",Skills!H$141,"")&amp;IF(H378="Bomb",Skills!H$143,"")&amp;IF(H378="Unarmed",Skills!H$145,"")&amp;IF(H378="Specific 1",Skills!H$147,"")&amp;IF(H378="Specific 2",Skills!H$150,"")</f>
        <v>Expert</v>
      </c>
      <c r="I393" s="307" t="str">
        <f>IF(I378="Simple",Skills!I$137,"")&amp;IF(I378="Martial",Skills!I$139,"")&amp;IF(I378="Advanced",Skills!I$141,"")&amp;IF(I378="Bomb",Skills!I$143,"")&amp;IF(I378="Unarmed",Skills!I$145,"")&amp;IF(I378="Specific 1",Skills!I$147,"")&amp;IF(I378="Specific 2",Skills!I$150,"")</f>
        <v>Expert</v>
      </c>
      <c r="K393" s="460"/>
    </row>
    <row r="394" spans="1:11" hidden="1" outlineLevel="1" x14ac:dyDescent="0.25">
      <c r="A394" s="310" t="s">
        <v>341</v>
      </c>
      <c r="B394" s="324">
        <f>IF(B392="STR",Stats!B$11)+IF(B392="DEX",Stats!B$12)+IF(B392="STR/DEX",MAX(Stats!B$11,Stats!B$12))</f>
        <v>0</v>
      </c>
      <c r="C394" s="291">
        <f>IF(C392="STR",Stats!C$11)+IF(C392="DEX",Stats!C$12)+IF(C392="STR/DEX",MAX(Stats!C$11,Stats!C$12))</f>
        <v>0</v>
      </c>
      <c r="D394" s="291">
        <f>IF(D392="STR",Stats!D$11)+IF(D392="DEX",Stats!D$12)+IF(D392="STR/DEX",MAX(Stats!D$11,Stats!D$12))</f>
        <v>2</v>
      </c>
      <c r="E394" s="291">
        <f>IF(E392="STR",Stats!E$11)+IF(E392="DEX",Stats!E$12)+IF(E392="STR/DEX",MAX(Stats!E$11,Stats!E$12))</f>
        <v>4</v>
      </c>
      <c r="F394" s="291">
        <f>IF(F392="STR",Stats!F$11)+IF(F392="DEX",Stats!F$12)+IF(F392="STR/DEX",MAX(Stats!F$11,Stats!F$12))</f>
        <v>3</v>
      </c>
      <c r="G394" s="291">
        <f>IF(G392="STR",Stats!G$11)+IF(G392="DEX",Stats!G$12)+IF(G392="STR/DEX",MAX(Stats!G$11,Stats!G$12))</f>
        <v>4</v>
      </c>
      <c r="H394" s="1099">
        <f>IF(H392="STR",Stats!H$11)+IF(H392="DEX",Stats!H$12)+IF(H392="STR/DEX",MAX(Stats!H$11,Stats!H$12))</f>
        <v>4</v>
      </c>
      <c r="I394" s="295">
        <f>IF(I392="STR",Stats!I$11)+IF(I392="DEX",Stats!I$12)+IF(I392="STR/DEX",MAX(Stats!I$11,Stats!I$12))</f>
        <v>4</v>
      </c>
      <c r="K394" s="460"/>
    </row>
    <row r="395" spans="1:11" hidden="1" outlineLevel="1" x14ac:dyDescent="0.25">
      <c r="A395" s="310" t="s">
        <v>91</v>
      </c>
      <c r="B395" s="324">
        <f>IF(B378="Simple",Skills!B$195,0)+IF(B378="Martial",Skills!B$196,0)+IF(B378="Advanced",Skills!B$197,0)+IF(B378="Bomb",Skills!B$198,0)+IF(B378="Unarmed",Skills!B$199,0)+IF(B378="Specific 1",Skills!B$200,0)+IF(B378="Specific 2",Skills!B$201,0)</f>
        <v>7</v>
      </c>
      <c r="C395" s="291">
        <f>IF(C378="Simple",Skills!C$195,0)+IF(C378="Martial",Skills!C$196,0)+IF(C378="Advanced",Skills!C$197,0)+IF(C378="Bomb",Skills!C$198,0)+IF(C378="Unarmed",Skills!C$199,0)+IF(C378="Specific 1",Skills!C$200,0)+IF(C378="Specific 2",Skills!C$201,0)</f>
        <v>7</v>
      </c>
      <c r="D395" s="291">
        <f>IF(D378="Simple",Skills!D$195,0)+IF(D378="Martial",Skills!D$196,0)+IF(D378="Advanced",Skills!D$197,0)+IF(D378="Bomb",Skills!D$198,0)+IF(D378="Unarmed",Skills!D$199,0)+IF(D378="Specific 1",Skills!D$200,0)+IF(D378="Specific 2",Skills!D$201,0)</f>
        <v>7</v>
      </c>
      <c r="E395" s="291">
        <f>IF(E378="Simple",Skills!E$195,0)+IF(E378="Martial",Skills!E$196,0)+IF(E378="Advanced",Skills!E$197,0)+IF(E378="Bomb",Skills!E$198,0)+IF(E378="Unarmed",Skills!E$199,0)+IF(E378="Specific 1",Skills!E$200,0)+IF(E378="Specific 2",Skills!E$201,0)</f>
        <v>9</v>
      </c>
      <c r="F395" s="291">
        <f>IF(F378="Simple",Skills!F$195,0)+IF(F378="Martial",Skills!F$196,0)+IF(F378="Advanced",Skills!F$197,0)+IF(F378="Bomb",Skills!F$198,0)+IF(F378="Unarmed",Skills!F$199,0)+IF(F378="Specific 1",Skills!F$200,0)+IF(F378="Specific 2",Skills!F$201,0)</f>
        <v>7</v>
      </c>
      <c r="G395" s="291">
        <f>IF(G378="Simple",Skills!G$195,0)+IF(G378="Martial",Skills!G$196,0)+IF(G378="Advanced",Skills!G$197,0)+IF(G378="Bomb",Skills!G$198,0)+IF(G378="Unarmed",Skills!G$199,0)+IF(G378="Specific 1",Skills!G$200,0)+IF(G378="Specific 2",Skills!G$201,0)</f>
        <v>9</v>
      </c>
      <c r="H395" s="1099">
        <f>IF(H378="Simple",Skills!H$195,0)+IF(H378="Martial",Skills!H$196,0)+IF(H378="Advanced",Skills!H$197,0)+IF(H378="Bomb",Skills!H$198,0)+IF(H378="Unarmed",Skills!H$199,0)+IF(H378="Specific 1",Skills!H$200,0)+IF(H378="Specific 2",Skills!H$201,0)</f>
        <v>9</v>
      </c>
      <c r="I395" s="295">
        <f>IF(I378="Simple",Skills!I$195,0)+IF(I378="Martial",Skills!I$196,0)+IF(I378="Advanced",Skills!I$197,0)+IF(I378="Bomb",Skills!I$198,0)+IF(I378="Unarmed",Skills!I$199,0)+IF(I378="Specific 1",Skills!I$200,0)+IF(I378="Specific 2",Skills!I$201,0)</f>
        <v>9</v>
      </c>
      <c r="K395" s="460"/>
    </row>
    <row r="396" spans="1:11" hidden="1" outlineLevel="1" x14ac:dyDescent="0.25">
      <c r="A396" s="310" t="s">
        <v>342</v>
      </c>
      <c r="B396" s="324"/>
      <c r="C396" s="1248">
        <v>1</v>
      </c>
      <c r="D396" s="291"/>
      <c r="E396" s="291"/>
      <c r="F396" s="291"/>
      <c r="G396" s="1248">
        <v>1</v>
      </c>
      <c r="H396" s="1248">
        <v>1</v>
      </c>
      <c r="I396" s="1262">
        <v>1</v>
      </c>
      <c r="K396" s="460"/>
    </row>
    <row r="397" spans="1:11" s="460" customFormat="1" hidden="1" outlineLevel="1" x14ac:dyDescent="0.25">
      <c r="A397" s="310" t="s">
        <v>792</v>
      </c>
      <c r="B397" s="324">
        <f>SUM(B394:B396)</f>
        <v>7</v>
      </c>
      <c r="C397" s="291">
        <f t="shared" ref="C397:H397" si="212">SUM(C394:C396)</f>
        <v>8</v>
      </c>
      <c r="D397" s="291">
        <f t="shared" si="212"/>
        <v>9</v>
      </c>
      <c r="E397" s="291">
        <f t="shared" si="212"/>
        <v>13</v>
      </c>
      <c r="F397" s="291">
        <f t="shared" si="212"/>
        <v>10</v>
      </c>
      <c r="G397" s="291">
        <f t="shared" si="212"/>
        <v>14</v>
      </c>
      <c r="H397" s="1099">
        <f t="shared" si="212"/>
        <v>14</v>
      </c>
      <c r="I397" s="295">
        <f t="shared" ref="I397" si="213">SUM(I394:I396)</f>
        <v>14</v>
      </c>
    </row>
    <row r="398" spans="1:11" s="460" customFormat="1" ht="15.75" hidden="1" outlineLevel="1" thickBot="1" x14ac:dyDescent="0.3">
      <c r="A398" s="311" t="s">
        <v>793</v>
      </c>
      <c r="B398" s="327">
        <v>-5</v>
      </c>
      <c r="C398" s="297">
        <v>-5</v>
      </c>
      <c r="D398" s="926">
        <v>-4</v>
      </c>
      <c r="E398" s="926">
        <v>-4</v>
      </c>
      <c r="F398" s="926">
        <v>-4</v>
      </c>
      <c r="G398" s="926">
        <v>-4</v>
      </c>
      <c r="H398" s="1114">
        <v>-4</v>
      </c>
      <c r="I398" s="928">
        <v>-4</v>
      </c>
    </row>
    <row r="399" spans="1:11" ht="15.75" hidden="1" outlineLevel="1" thickBot="1" x14ac:dyDescent="0.3">
      <c r="A399" s="315" t="s">
        <v>337</v>
      </c>
      <c r="B399" s="320" t="str">
        <f t="shared" ref="B399:H399" si="214">CONCATENATE(B402,B384,"+",B401)</f>
        <v>1d8+0</v>
      </c>
      <c r="C399" s="318" t="str">
        <f t="shared" si="214"/>
        <v>1d8+0</v>
      </c>
      <c r="D399" s="318" t="str">
        <f t="shared" ref="D399" si="215">CONCATENATE(D402,D384,"+",D401)</f>
        <v>1d4+2</v>
      </c>
      <c r="E399" s="318" t="str">
        <f t="shared" si="214"/>
        <v>1d4+4</v>
      </c>
      <c r="F399" s="318" t="str">
        <f t="shared" si="214"/>
        <v>1d4+0</v>
      </c>
      <c r="G399" s="318" t="str">
        <f t="shared" si="214"/>
        <v>1d4+2</v>
      </c>
      <c r="H399" s="1107" t="str">
        <f t="shared" si="214"/>
        <v>1d4+4</v>
      </c>
      <c r="I399" s="342" t="str">
        <f t="shared" ref="I399" si="216">CONCATENATE(I402,I384,"+",I401)</f>
        <v>1d4+4</v>
      </c>
      <c r="K399" s="460"/>
    </row>
    <row r="400" spans="1:11" hidden="1" outlineLevel="1" x14ac:dyDescent="0.25">
      <c r="A400" s="314" t="s">
        <v>79</v>
      </c>
      <c r="B400" s="321" t="s">
        <v>10</v>
      </c>
      <c r="C400" s="316" t="s">
        <v>10</v>
      </c>
      <c r="D400" s="316" t="s">
        <v>10</v>
      </c>
      <c r="E400" s="316" t="s">
        <v>10</v>
      </c>
      <c r="F400" s="316" t="s">
        <v>10</v>
      </c>
      <c r="G400" s="316" t="s">
        <v>10</v>
      </c>
      <c r="H400" s="1102" t="s">
        <v>10</v>
      </c>
      <c r="I400" s="927" t="s">
        <v>234</v>
      </c>
      <c r="K400" s="460"/>
    </row>
    <row r="401" spans="1:11" hidden="1" outlineLevel="1" x14ac:dyDescent="0.25">
      <c r="A401" s="310" t="s">
        <v>341</v>
      </c>
      <c r="B401" s="291">
        <f>IF(B400="STR",Stats!B$11)+IF(B400="DEX",Stats!B$12)+IF(B400="STR/DEX",MAX(Stats!B$11,Stats!B$12))+IF(B400="HALF STR",IF(Stats!B$11&lt;1,Stats!B$11,INT(Stats!B$11/2)))</f>
        <v>0</v>
      </c>
      <c r="C401" s="291">
        <f>IF(C400="STR",Stats!C$11)+IF(C400="DEX",Stats!C$12)+IF(C400="STR/DEX",MAX(Stats!C$11,Stats!C$12))+IF(C400="HALF STR",IF(Stats!C$11&lt;1,Stats!C$11,INT(Stats!C$11/2)))</f>
        <v>0</v>
      </c>
      <c r="D401" s="291">
        <f>IF(D400="STR",Stats!D$11)+IF(D400="DEX",Stats!D$12)+IF(D400="STR/DEX",MAX(Stats!D$11,Stats!D$12))+IF(D400="HALF STR",IF(Stats!D$11&lt;1,Stats!D$11,INT(Stats!D$11/2)))</f>
        <v>2</v>
      </c>
      <c r="E401" s="291">
        <f>IF(E400="STR",Stats!E$11)+IF(E400="DEX",Stats!E$12)+IF(E400="STR/DEX",MAX(Stats!E$11,Stats!E$12))+IF(E400="HALF STR",IF(Stats!E$11&lt;1,Stats!E$11,INT(Stats!E$11/2)))</f>
        <v>4</v>
      </c>
      <c r="F401" s="291">
        <f>IF(F400="STR",Stats!F$11)+IF(F400="DEX",Stats!F$12)+IF(F400="STR/DEX",MAX(Stats!F$11,Stats!F$12))+IF(F400="HALF STR",IF(Stats!F$11&lt;1,Stats!F$11,INT(Stats!F$11/2)))</f>
        <v>0</v>
      </c>
      <c r="G401" s="291">
        <f>IF(G400="STR",Stats!G$11)+IF(G400="DEX",Stats!G$12)+IF(G400="STR/DEX",MAX(Stats!G$11,Stats!G$12))+IF(G400="HALF STR",IF(Stats!G$11&lt;1,Stats!G$11,INT(Stats!G$11/2)))</f>
        <v>2</v>
      </c>
      <c r="H401" s="291">
        <f>IF(H400="STR",Stats!H$11)+IF(H400="DEX",Stats!H$12)+IF(H400="STR/DEX",MAX(Stats!H$11,Stats!H$12))+IF(H400="HALF STR",IF(Stats!H$11&lt;1,Stats!H$11,INT(Stats!H$11/2)))</f>
        <v>4</v>
      </c>
      <c r="I401" s="295">
        <f>IF(I400="STR",Stats!I$11)+IF(I400="DEX",Stats!I$12)+IF(I400="STR/DEX",MAX(Stats!I$11,Stats!I$12))+IF(I400="HALF STR",IF(Stats!I$11&lt;1,Stats!I$11,INT(Stats!I$11/2)))</f>
        <v>4</v>
      </c>
      <c r="K401" s="460"/>
    </row>
    <row r="402" spans="1:11" ht="15.75" hidden="1" outlineLevel="1" thickBot="1" x14ac:dyDescent="0.3">
      <c r="A402" s="311" t="s">
        <v>352</v>
      </c>
      <c r="B402" s="327">
        <v>1</v>
      </c>
      <c r="C402" s="297">
        <v>1</v>
      </c>
      <c r="D402" s="297">
        <v>1</v>
      </c>
      <c r="E402" s="297">
        <v>1</v>
      </c>
      <c r="F402" s="297">
        <v>1</v>
      </c>
      <c r="G402" s="297">
        <v>1</v>
      </c>
      <c r="H402" s="1100">
        <v>1</v>
      </c>
      <c r="I402" s="298">
        <v>1</v>
      </c>
      <c r="K402" s="460"/>
    </row>
    <row r="403" spans="1:11" ht="15.75" collapsed="1" thickBot="1" x14ac:dyDescent="0.3">
      <c r="A403" s="315" t="s">
        <v>81</v>
      </c>
      <c r="B403" s="331" t="s">
        <v>340</v>
      </c>
      <c r="C403" s="335" t="s">
        <v>362</v>
      </c>
      <c r="D403" s="335" t="s">
        <v>672</v>
      </c>
      <c r="E403" s="332" t="s">
        <v>340</v>
      </c>
      <c r="F403" s="332" t="s">
        <v>368</v>
      </c>
      <c r="G403" s="335" t="s">
        <v>711</v>
      </c>
      <c r="H403" s="1115" t="s">
        <v>390</v>
      </c>
      <c r="I403" s="333" t="s">
        <v>389</v>
      </c>
    </row>
    <row r="404" spans="1:11" hidden="1" outlineLevel="1" x14ac:dyDescent="0.25">
      <c r="A404" s="314" t="s">
        <v>330</v>
      </c>
      <c r="B404" s="321" t="s">
        <v>344</v>
      </c>
      <c r="C404" s="316" t="s">
        <v>344</v>
      </c>
      <c r="D404" s="316" t="s">
        <v>344</v>
      </c>
      <c r="E404" s="316" t="s">
        <v>344</v>
      </c>
      <c r="F404" s="316" t="s">
        <v>354</v>
      </c>
      <c r="G404" s="316" t="s">
        <v>354</v>
      </c>
      <c r="H404" s="1102" t="s">
        <v>344</v>
      </c>
      <c r="I404" s="317" t="s">
        <v>354</v>
      </c>
    </row>
    <row r="405" spans="1:11" hidden="1" outlineLevel="1" x14ac:dyDescent="0.25">
      <c r="A405" s="310" t="s">
        <v>336</v>
      </c>
      <c r="B405" s="322" t="s">
        <v>345</v>
      </c>
      <c r="C405" s="822" t="s">
        <v>359</v>
      </c>
      <c r="D405" s="303" t="s">
        <v>345</v>
      </c>
      <c r="E405" s="303" t="s">
        <v>345</v>
      </c>
      <c r="F405" s="308" t="s">
        <v>366</v>
      </c>
      <c r="G405" s="303" t="s">
        <v>345</v>
      </c>
      <c r="H405" s="822" t="s">
        <v>379</v>
      </c>
      <c r="I405" s="307" t="s">
        <v>359</v>
      </c>
    </row>
    <row r="406" spans="1:11" collapsed="1" x14ac:dyDescent="0.25">
      <c r="A406" s="310" t="s">
        <v>334</v>
      </c>
      <c r="B406" s="323" t="s">
        <v>346</v>
      </c>
      <c r="C406" s="786" t="s">
        <v>374</v>
      </c>
      <c r="D406" s="1530" t="s">
        <v>686</v>
      </c>
      <c r="E406" s="308" t="s">
        <v>346</v>
      </c>
      <c r="F406" s="923" t="s">
        <v>370</v>
      </c>
      <c r="G406" s="923" t="s">
        <v>370</v>
      </c>
      <c r="H406" s="1112" t="s">
        <v>394</v>
      </c>
      <c r="I406" s="338" t="s">
        <v>393</v>
      </c>
    </row>
    <row r="407" spans="1:11" x14ac:dyDescent="0.25">
      <c r="A407" s="310" t="s">
        <v>334</v>
      </c>
      <c r="B407" s="785" t="s">
        <v>374</v>
      </c>
      <c r="C407" s="786" t="s">
        <v>374</v>
      </c>
      <c r="D407" s="786" t="s">
        <v>374</v>
      </c>
      <c r="E407" s="786" t="s">
        <v>374</v>
      </c>
      <c r="F407" s="921" t="s">
        <v>367</v>
      </c>
      <c r="G407" s="921" t="s">
        <v>367</v>
      </c>
      <c r="H407" s="1112" t="s">
        <v>395</v>
      </c>
      <c r="I407" s="338" t="s">
        <v>392</v>
      </c>
    </row>
    <row r="408" spans="1:11" s="460" customFormat="1" x14ac:dyDescent="0.25">
      <c r="A408" s="310" t="s">
        <v>334</v>
      </c>
      <c r="B408" s="785" t="s">
        <v>374</v>
      </c>
      <c r="C408" s="786" t="s">
        <v>374</v>
      </c>
      <c r="D408" s="786" t="s">
        <v>374</v>
      </c>
      <c r="E408" s="786" t="s">
        <v>374</v>
      </c>
      <c r="F408" s="308" t="s">
        <v>371</v>
      </c>
      <c r="G408" s="308" t="s">
        <v>704</v>
      </c>
      <c r="H408" s="1104" t="s">
        <v>374</v>
      </c>
      <c r="I408" s="925" t="s">
        <v>367</v>
      </c>
    </row>
    <row r="409" spans="1:11" s="460" customFormat="1" hidden="1" outlineLevel="1" x14ac:dyDescent="0.25">
      <c r="A409" s="310" t="s">
        <v>334</v>
      </c>
      <c r="B409" s="785" t="s">
        <v>374</v>
      </c>
      <c r="C409" s="786" t="s">
        <v>374</v>
      </c>
      <c r="D409" s="786" t="s">
        <v>374</v>
      </c>
      <c r="E409" s="786" t="s">
        <v>374</v>
      </c>
      <c r="F409" s="786" t="s">
        <v>374</v>
      </c>
      <c r="G409" s="786" t="s">
        <v>374</v>
      </c>
      <c r="H409" s="1104" t="s">
        <v>374</v>
      </c>
      <c r="I409" s="850" t="s">
        <v>374</v>
      </c>
    </row>
    <row r="410" spans="1:11" s="460" customFormat="1" hidden="1" outlineLevel="1" x14ac:dyDescent="0.25">
      <c r="A410" s="310" t="s">
        <v>334</v>
      </c>
      <c r="B410" s="785" t="s">
        <v>374</v>
      </c>
      <c r="C410" s="786" t="s">
        <v>374</v>
      </c>
      <c r="D410" s="786" t="s">
        <v>374</v>
      </c>
      <c r="E410" s="786" t="s">
        <v>374</v>
      </c>
      <c r="F410" s="786" t="s">
        <v>374</v>
      </c>
      <c r="G410" s="786" t="s">
        <v>436</v>
      </c>
      <c r="H410" s="1104" t="s">
        <v>374</v>
      </c>
      <c r="I410" s="850" t="s">
        <v>374</v>
      </c>
    </row>
    <row r="411" spans="1:11" hidden="1" outlineLevel="1" x14ac:dyDescent="0.25">
      <c r="A411" s="310" t="s">
        <v>337</v>
      </c>
      <c r="B411" s="322" t="s">
        <v>353</v>
      </c>
      <c r="C411" s="822" t="s">
        <v>360</v>
      </c>
      <c r="D411" s="303" t="s">
        <v>353</v>
      </c>
      <c r="E411" s="303" t="s">
        <v>353</v>
      </c>
      <c r="F411" s="303" t="s">
        <v>356</v>
      </c>
      <c r="G411" s="291" t="s">
        <v>356</v>
      </c>
      <c r="H411" s="822" t="s">
        <v>360</v>
      </c>
      <c r="I411" s="307" t="s">
        <v>353</v>
      </c>
    </row>
    <row r="412" spans="1:11" hidden="1" outlineLevel="1" x14ac:dyDescent="0.25">
      <c r="A412" s="310" t="s">
        <v>347</v>
      </c>
      <c r="B412" s="322" t="s">
        <v>348</v>
      </c>
      <c r="C412" s="303" t="s">
        <v>348</v>
      </c>
      <c r="D412" s="786" t="s">
        <v>357</v>
      </c>
      <c r="E412" s="303" t="s">
        <v>348</v>
      </c>
      <c r="F412" s="303" t="s">
        <v>357</v>
      </c>
      <c r="G412" s="786" t="s">
        <v>357</v>
      </c>
      <c r="H412" s="822" t="s">
        <v>348</v>
      </c>
      <c r="I412" s="307" t="s">
        <v>348</v>
      </c>
    </row>
    <row r="413" spans="1:11" hidden="1" outlineLevel="1" x14ac:dyDescent="0.25">
      <c r="A413" s="310" t="s">
        <v>338</v>
      </c>
      <c r="B413" s="324">
        <v>1</v>
      </c>
      <c r="C413" s="291">
        <v>2</v>
      </c>
      <c r="D413" s="291">
        <v>1</v>
      </c>
      <c r="E413" s="291">
        <v>1</v>
      </c>
      <c r="F413" s="291">
        <v>1</v>
      </c>
      <c r="G413" s="291">
        <v>1</v>
      </c>
      <c r="H413" s="822" t="s">
        <v>396</v>
      </c>
      <c r="I413" s="295">
        <v>1</v>
      </c>
    </row>
    <row r="414" spans="1:11" hidden="1" outlineLevel="1" x14ac:dyDescent="0.25">
      <c r="A414" s="310" t="s">
        <v>344</v>
      </c>
      <c r="B414" s="322" t="s">
        <v>211</v>
      </c>
      <c r="C414" s="303" t="s">
        <v>363</v>
      </c>
      <c r="D414" s="786" t="s">
        <v>531</v>
      </c>
      <c r="E414" s="303" t="s">
        <v>211</v>
      </c>
      <c r="F414" s="786" t="s">
        <v>374</v>
      </c>
      <c r="G414" s="786" t="s">
        <v>374</v>
      </c>
      <c r="H414" s="822" t="s">
        <v>397</v>
      </c>
      <c r="I414" s="850" t="s">
        <v>374</v>
      </c>
    </row>
    <row r="415" spans="1:11" hidden="1" outlineLevel="1" x14ac:dyDescent="0.25">
      <c r="A415" s="310" t="s">
        <v>349</v>
      </c>
      <c r="B415" s="785" t="s">
        <v>374</v>
      </c>
      <c r="C415" s="303" t="s">
        <v>422</v>
      </c>
      <c r="D415" s="303" t="s">
        <v>422</v>
      </c>
      <c r="E415" s="786" t="s">
        <v>374</v>
      </c>
      <c r="F415" s="786" t="s">
        <v>374</v>
      </c>
      <c r="G415" s="786" t="s">
        <v>374</v>
      </c>
      <c r="H415" s="1104" t="s">
        <v>374</v>
      </c>
      <c r="I415" s="850" t="s">
        <v>374</v>
      </c>
    </row>
    <row r="416" spans="1:11" hidden="1" outlineLevel="1" x14ac:dyDescent="0.25">
      <c r="A416" s="310" t="s">
        <v>339</v>
      </c>
      <c r="B416" s="322" t="s">
        <v>350</v>
      </c>
      <c r="C416" s="291">
        <v>1</v>
      </c>
      <c r="D416" s="303" t="s">
        <v>350</v>
      </c>
      <c r="E416" s="303" t="s">
        <v>350</v>
      </c>
      <c r="F416" s="304"/>
      <c r="G416" s="291">
        <v>1</v>
      </c>
      <c r="H416" s="1099">
        <v>2</v>
      </c>
      <c r="I416" s="295">
        <v>1</v>
      </c>
    </row>
    <row r="417" spans="1:9" ht="15.75" collapsed="1" thickBot="1" x14ac:dyDescent="0.3">
      <c r="A417" s="312" t="s">
        <v>335</v>
      </c>
      <c r="B417" s="340" t="s">
        <v>351</v>
      </c>
      <c r="C417" s="341" t="s">
        <v>364</v>
      </c>
      <c r="D417" s="341" t="s">
        <v>672</v>
      </c>
      <c r="E417" s="341" t="s">
        <v>351</v>
      </c>
      <c r="F417" s="319" t="s">
        <v>369</v>
      </c>
      <c r="G417" s="341" t="s">
        <v>358</v>
      </c>
      <c r="H417" s="1116" t="s">
        <v>364</v>
      </c>
      <c r="I417" s="339" t="s">
        <v>385</v>
      </c>
    </row>
    <row r="418" spans="1:9" ht="15.75" hidden="1" outlineLevel="1" thickBot="1" x14ac:dyDescent="0.3">
      <c r="A418" s="315" t="s">
        <v>343</v>
      </c>
      <c r="B418" s="320" t="str">
        <f>B424&amp;"/"&amp;(B424+B425)&amp;"/"&amp;(B424+2*B425)</f>
        <v>10/5/0</v>
      </c>
      <c r="C418" s="318" t="str">
        <f t="shared" ref="C418:I418" si="217">C424&amp;"/"&amp;(C424+C425)&amp;"/"&amp;(C424+2*C425)</f>
        <v>9/4/-1</v>
      </c>
      <c r="D418" s="318" t="str">
        <f t="shared" si="217"/>
        <v>9/4/-1</v>
      </c>
      <c r="E418" s="318" t="str">
        <f t="shared" si="217"/>
        <v>12/7/2</v>
      </c>
      <c r="F418" s="318" t="str">
        <f t="shared" si="217"/>
        <v>10/6/2</v>
      </c>
      <c r="G418" s="318" t="str">
        <f t="shared" si="217"/>
        <v>13/9/5</v>
      </c>
      <c r="H418" s="1107" t="str">
        <f t="shared" si="217"/>
        <v>11/6/1</v>
      </c>
      <c r="I418" s="342" t="str">
        <f t="shared" si="217"/>
        <v>13/8/3</v>
      </c>
    </row>
    <row r="419" spans="1:9" hidden="1" outlineLevel="1" x14ac:dyDescent="0.25">
      <c r="A419" s="349" t="s">
        <v>79</v>
      </c>
      <c r="B419" s="328" t="s">
        <v>11</v>
      </c>
      <c r="C419" s="309" t="s">
        <v>11</v>
      </c>
      <c r="D419" s="309" t="s">
        <v>11</v>
      </c>
      <c r="E419" s="309" t="s">
        <v>11</v>
      </c>
      <c r="F419" s="922" t="s">
        <v>234</v>
      </c>
      <c r="G419" s="922" t="s">
        <v>234</v>
      </c>
      <c r="H419" s="1108" t="s">
        <v>11</v>
      </c>
      <c r="I419" s="927" t="s">
        <v>234</v>
      </c>
    </row>
    <row r="420" spans="1:9" hidden="1" outlineLevel="1" x14ac:dyDescent="0.25">
      <c r="A420" s="310" t="s">
        <v>324</v>
      </c>
      <c r="B420" s="322" t="str">
        <f>IF(B405="Simple",Skills!B$137,"")&amp;IF(B405="Martial",Skills!B$139,"")&amp;IF(B405="Advanced",Skills!B$141,"")&amp;IF(B405="Bomb",Skills!B$143,"")&amp;IF(B405="Unarmed",Skills!B$145,"")&amp;IF(B405="Specific 1",Skills!B$147,"")&amp;IF(B405="Specific 2",Skills!B$150,"")</f>
        <v>Trained</v>
      </c>
      <c r="C420" s="303" t="str">
        <f>IF(C405="Simple",Skills!C$137,"")&amp;IF(C405="Martial",Skills!C$139,"")&amp;IF(C405="Advanced",Skills!C$141,"")&amp;IF(C405="Bomb",Skills!C$143,"")&amp;IF(C405="Unarmed",Skills!C$145,"")&amp;IF(C405="Specific 1",Skills!C$147,"")&amp;IF(C405="Specific 2",Skills!C$150,"")</f>
        <v>Trained</v>
      </c>
      <c r="D420" s="303" t="str">
        <f>IF(D405="Simple",Skills!D$137,"")&amp;IF(D405="Martial",Skills!D$139,"")&amp;IF(D405="Advanced",Skills!D$141,"")&amp;IF(D405="Bomb",Skills!D$143,"")&amp;IF(D405="Unarmed",Skills!D$145,"")&amp;IF(D405="Specific 1",Skills!D$147,"")&amp;IF(D405="Specific 2",Skills!D$150,"")</f>
        <v>Trained</v>
      </c>
      <c r="E420" s="303" t="str">
        <f>IF(E405="Simple",Skills!E$137,"")&amp;IF(E405="Martial",Skills!E$139,"")&amp;IF(E405="Advanced",Skills!E$141,"")&amp;IF(E405="Bomb",Skills!E$143,"")&amp;IF(E405="Unarmed",Skills!E$145,"")&amp;IF(E405="Specific 1",Skills!E$147,"")&amp;IF(E405="Specific 2",Skills!E$150,"")</f>
        <v>Expert</v>
      </c>
      <c r="F420" s="303" t="str">
        <f>IF(F405="Simple",Skills!F$137,"")&amp;IF(F405="Martial",Skills!F$139,"")&amp;IF(F405="Advanced",Skills!F$141,"")&amp;IF(F405="Bomb",Skills!F$143,"")&amp;IF(F405="Unarmed",Skills!F$145,"")&amp;IF(F405="Specific 1",Skills!F$147,"")&amp;IF(F405="Specific 2",Skills!F$150,"")</f>
        <v>Trained</v>
      </c>
      <c r="G420" s="303" t="str">
        <f>IF(G405="Simple",Skills!G$137,"")&amp;IF(G405="Martial",Skills!G$139,"")&amp;IF(G405="Advanced",Skills!G$141,"")&amp;IF(G405="Bomb",Skills!G$143,"")&amp;IF(G405="Unarmed",Skills!G$145,"")&amp;IF(G405="Specific 1",Skills!G$147,"")&amp;IF(G405="Specific 2",Skills!G$150,"")</f>
        <v>Expert</v>
      </c>
      <c r="H420" s="822" t="str">
        <f>IF(H405="Simple",Skills!H$137,"")&amp;IF(H405="Martial",Skills!H$139,"")&amp;IF(H405="Advanced",Skills!H$141,"")&amp;IF(H405="Bomb",Skills!H$143,"")&amp;IF(H405="Unarmed",Skills!H$145,"")&amp;IF(H405="Specific 1",Skills!H$147,"")&amp;IF(H405="Specific 2",Skills!H$150,"")</f>
        <v>Expert</v>
      </c>
      <c r="I420" s="307" t="str">
        <f>IF(I405="Simple",Skills!I$137,"")&amp;IF(I405="Martial",Skills!I$139,"")&amp;IF(I405="Advanced",Skills!I$141,"")&amp;IF(I405="Bomb",Skills!I$143,"")&amp;IF(I405="Unarmed",Skills!I$145,"")&amp;IF(I405="Specific 1",Skills!I$147,"")&amp;IF(I405="Specific 2",Skills!I$150,"")</f>
        <v>Expert</v>
      </c>
    </row>
    <row r="421" spans="1:9" hidden="1" outlineLevel="1" x14ac:dyDescent="0.25">
      <c r="A421" s="310" t="s">
        <v>341</v>
      </c>
      <c r="B421" s="324">
        <f>IF(B419="STR",Stats!B$11)+IF(B419="DEX",Stats!B$12)+IF(B419="STR/DEX",MAX(Stats!B$11,Stats!B$12))</f>
        <v>3</v>
      </c>
      <c r="C421" s="291">
        <f>IF(C419="STR",Stats!C$11)+IF(C419="DEX",Stats!C$12)+IF(C419="STR/DEX",MAX(Stats!C$11,Stats!C$12))</f>
        <v>2</v>
      </c>
      <c r="D421" s="291">
        <f>IF(D419="STR",Stats!D$11)+IF(D419="DEX",Stats!D$12)+IF(D419="STR/DEX",MAX(Stats!D$11,Stats!D$12))</f>
        <v>2</v>
      </c>
      <c r="E421" s="291">
        <f>IF(E419="STR",Stats!E$11)+IF(E419="DEX",Stats!E$12)+IF(E419="STR/DEX",MAX(Stats!E$11,Stats!E$12))</f>
        <v>3</v>
      </c>
      <c r="F421" s="291">
        <f>IF(F419="STR",Stats!F$11)+IF(F419="DEX",Stats!F$12)+IF(F419="STR/DEX",MAX(Stats!F$11,Stats!F$12))</f>
        <v>3</v>
      </c>
      <c r="G421" s="291">
        <f>IF(G419="STR",Stats!G$11)+IF(G419="DEX",Stats!G$12)+IF(G419="STR/DEX",MAX(Stats!G$11,Stats!G$12))</f>
        <v>4</v>
      </c>
      <c r="H421" s="1099">
        <f>IF(H419="STR",Stats!H$11)+IF(H419="DEX",Stats!H$12)+IF(H419="STR/DEX",MAX(Stats!H$11,Stats!H$12))</f>
        <v>2</v>
      </c>
      <c r="I421" s="295">
        <f>IF(I419="STR",Stats!I$11)+IF(I419="DEX",Stats!I$12)+IF(I419="STR/DEX",MAX(Stats!I$11,Stats!I$12))</f>
        <v>4</v>
      </c>
    </row>
    <row r="422" spans="1:9" hidden="1" outlineLevel="1" x14ac:dyDescent="0.25">
      <c r="A422" s="310" t="s">
        <v>91</v>
      </c>
      <c r="B422" s="324">
        <f>IF(B405="Simple",Skills!B$195,0)+IF(B405="Martial",Skills!B$196,0)+IF(B405="Advanced",Skills!B$197,0)+IF(B405="Bomb",Skills!B$198,0)+IF(B405="Unarmed",Skills!B$199,0)+IF(B405="Specific 1",Skills!B$200,0)+IF(B405="Specific 2",Skills!B$201,0)</f>
        <v>7</v>
      </c>
      <c r="C422" s="291">
        <f>IF(C405="Simple",Skills!C$195,0)+IF(C405="Martial",Skills!C$196,0)+IF(C405="Advanced",Skills!C$197,0)+IF(C405="Bomb",Skills!C$198,0)+IF(C405="Unarmed",Skills!C$199,0)+IF(C405="Specific 1",Skills!C$200,0)+IF(C405="Specific 2",Skills!C$201,0)</f>
        <v>7</v>
      </c>
      <c r="D422" s="291">
        <f>IF(D405="Simple",Skills!D$195,0)+IF(D405="Martial",Skills!D$196,0)+IF(D405="Advanced",Skills!D$197,0)+IF(D405="Bomb",Skills!D$198,0)+IF(D405="Unarmed",Skills!D$199,0)+IF(D405="Specific 1",Skills!D$200,0)+IF(D405="Specific 2",Skills!D$201,0)</f>
        <v>7</v>
      </c>
      <c r="E422" s="291">
        <f>IF(E405="Simple",Skills!E$195,0)+IF(E405="Martial",Skills!E$196,0)+IF(E405="Advanced",Skills!E$197,0)+IF(E405="Bomb",Skills!E$198,0)+IF(E405="Unarmed",Skills!E$199,0)+IF(E405="Specific 1",Skills!E$200,0)+IF(E405="Specific 2",Skills!E$201,0)</f>
        <v>9</v>
      </c>
      <c r="F422" s="291">
        <f>IF(F405="Simple",Skills!F$195,0)+IF(F405="Martial",Skills!F$196,0)+IF(F405="Advanced",Skills!F$197,0)+IF(F405="Bomb",Skills!F$198,0)+IF(F405="Unarmed",Skills!F$199,0)+IF(F405="Specific 1",Skills!F$200,0)+IF(F405="Specific 2",Skills!F$201,0)</f>
        <v>7</v>
      </c>
      <c r="G422" s="291">
        <f>IF(G405="Simple",Skills!G$195,0)+IF(G405="Martial",Skills!G$196,0)+IF(G405="Advanced",Skills!G$197,0)+IF(G405="Bomb",Skills!G$198,0)+IF(G405="Unarmed",Skills!G$199,0)+IF(G405="Specific 1",Skills!G$200,0)+IF(G405="Specific 2",Skills!G$201,0)</f>
        <v>9</v>
      </c>
      <c r="H422" s="1099">
        <f>IF(H405="Simple",Skills!H$195,0)+IF(H405="Martial",Skills!H$196,0)+IF(H405="Advanced",Skills!H$197,0)+IF(H405="Bomb",Skills!H$198,0)+IF(H405="Unarmed",Skills!H$199,0)+IF(H405="Specific 1",Skills!H$200,0)+IF(H405="Specific 2",Skills!H$201,0)</f>
        <v>9</v>
      </c>
      <c r="I422" s="295">
        <f>IF(I405="Simple",Skills!I$195,0)+IF(I405="Martial",Skills!I$196,0)+IF(I405="Advanced",Skills!I$197,0)+IF(I405="Bomb",Skills!I$198,0)+IF(I405="Unarmed",Skills!I$199,0)+IF(I405="Specific 1",Skills!I$200,0)+IF(I405="Specific 2",Skills!I$201,0)</f>
        <v>9</v>
      </c>
    </row>
    <row r="423" spans="1:9" hidden="1" outlineLevel="1" x14ac:dyDescent="0.25">
      <c r="A423" s="310" t="s">
        <v>342</v>
      </c>
      <c r="B423" s="324"/>
      <c r="C423" s="291"/>
      <c r="D423" s="291"/>
      <c r="E423" s="291"/>
      <c r="F423" s="291"/>
      <c r="G423" s="291"/>
      <c r="H423" s="1099"/>
      <c r="I423" s="295"/>
    </row>
    <row r="424" spans="1:9" s="460" customFormat="1" hidden="1" outlineLevel="1" x14ac:dyDescent="0.25">
      <c r="A424" s="310" t="s">
        <v>792</v>
      </c>
      <c r="B424" s="324">
        <f>SUM(B421:B423)</f>
        <v>10</v>
      </c>
      <c r="C424" s="291">
        <f t="shared" ref="C424:I424" si="218">SUM(C421:C423)</f>
        <v>9</v>
      </c>
      <c r="D424" s="291">
        <f t="shared" si="218"/>
        <v>9</v>
      </c>
      <c r="E424" s="291">
        <f t="shared" si="218"/>
        <v>12</v>
      </c>
      <c r="F424" s="291">
        <f t="shared" si="218"/>
        <v>10</v>
      </c>
      <c r="G424" s="291">
        <f t="shared" si="218"/>
        <v>13</v>
      </c>
      <c r="H424" s="1099">
        <f t="shared" si="218"/>
        <v>11</v>
      </c>
      <c r="I424" s="295">
        <f t="shared" si="218"/>
        <v>13</v>
      </c>
    </row>
    <row r="425" spans="1:9" s="460" customFormat="1" ht="15.75" hidden="1" outlineLevel="1" thickBot="1" x14ac:dyDescent="0.3">
      <c r="A425" s="311" t="s">
        <v>793</v>
      </c>
      <c r="B425" s="327">
        <v>-5</v>
      </c>
      <c r="C425" s="297">
        <v>-5</v>
      </c>
      <c r="D425" s="297">
        <v>-5</v>
      </c>
      <c r="E425" s="297">
        <v>-5</v>
      </c>
      <c r="F425" s="926">
        <v>-4</v>
      </c>
      <c r="G425" s="926">
        <v>-4</v>
      </c>
      <c r="H425" s="1100">
        <v>-5</v>
      </c>
      <c r="I425" s="298">
        <v>-5</v>
      </c>
    </row>
    <row r="426" spans="1:9" ht="15.75" hidden="1" outlineLevel="1" collapsed="1" thickBot="1" x14ac:dyDescent="0.3">
      <c r="A426" s="315" t="s">
        <v>337</v>
      </c>
      <c r="B426" s="320" t="str">
        <f>CONCATENATE(B429,B411,"+",B428)</f>
        <v>1d6+0</v>
      </c>
      <c r="C426" s="318" t="str">
        <f t="shared" ref="C426:I426" si="219">CONCATENATE(C429,C411,"+",C428)</f>
        <v>1d8+0</v>
      </c>
      <c r="D426" s="318" t="str">
        <f t="shared" si="219"/>
        <v>1d6+1</v>
      </c>
      <c r="E426" s="318" t="str">
        <f>CONCATENATE(E429,E411,"+",E428)</f>
        <v>1d6+4</v>
      </c>
      <c r="F426" s="318" t="str">
        <f t="shared" ref="F426" si="220">CONCATENATE(F429,F411,"+",F428)</f>
        <v>1d4+0</v>
      </c>
      <c r="G426" s="318" t="str">
        <f t="shared" ref="G426" si="221">CONCATENATE(G429,G411,"+",G428)</f>
        <v>1d4+2</v>
      </c>
      <c r="H426" s="1107" t="str">
        <f t="shared" si="219"/>
        <v>1d8+0</v>
      </c>
      <c r="I426" s="348" t="str">
        <f t="shared" si="219"/>
        <v>1d6+4</v>
      </c>
    </row>
    <row r="427" spans="1:9" hidden="1" outlineLevel="1" x14ac:dyDescent="0.25">
      <c r="A427" s="314" t="s">
        <v>79</v>
      </c>
      <c r="B427" s="321" t="s">
        <v>10</v>
      </c>
      <c r="C427" s="316" t="s">
        <v>374</v>
      </c>
      <c r="D427" s="1528" t="s">
        <v>1089</v>
      </c>
      <c r="E427" s="316" t="s">
        <v>10</v>
      </c>
      <c r="F427" s="316" t="s">
        <v>10</v>
      </c>
      <c r="G427" s="316" t="s">
        <v>10</v>
      </c>
      <c r="H427" s="1117" t="s">
        <v>374</v>
      </c>
      <c r="I427" s="927" t="s">
        <v>234</v>
      </c>
    </row>
    <row r="428" spans="1:9" hidden="1" outlineLevel="1" x14ac:dyDescent="0.25">
      <c r="A428" s="310" t="s">
        <v>341</v>
      </c>
      <c r="B428" s="291">
        <f>IF(B427="STR",Stats!B$11)+IF(B427="DEX",Stats!B$12)+IF(B427="STR/DEX",MAX(Stats!B$11,Stats!B$12))+IF(B427="PRO",IF(Stats!B$11&gt;0,INT(Stats!B$11/2),Stats!B$11))</f>
        <v>0</v>
      </c>
      <c r="C428" s="291">
        <f>IF(C427="STR",Stats!C$11)+IF(C427="DEX",Stats!C$12)+IF(C427="STR/DEX",MAX(Stats!C$11,Stats!C$12))+IF(C427="PRO",IF(Stats!C$11&gt;0,INT(Stats!C$11/2),Stats!C$11))</f>
        <v>0</v>
      </c>
      <c r="D428" s="291">
        <f>IF(D427="STR",Stats!D$11)+IF(D427="DEX",Stats!D$12)+IF(D427="STR/DEX",MAX(Stats!D$11,Stats!D$12))+IF(D427="PRO",IF(Stats!D$11&gt;0,INT(Stats!D$11/2),Stats!D$11))</f>
        <v>1</v>
      </c>
      <c r="E428" s="291">
        <f>IF(E427="STR",Stats!E$11)+IF(E427="DEX",Stats!E$12)+IF(E427="STR/DEX",MAX(Stats!E$11,Stats!E$12))+IF(E427="HALF STR",IF(Stats!E$11&lt;1,Stats!E$11,INT(Stats!E$11/2)))</f>
        <v>4</v>
      </c>
      <c r="F428" s="291">
        <f>IF(F427="STR",Stats!F$11)+IF(F427="DEX",Stats!F$12)+IF(F427="STR/DEX",MAX(Stats!F$11,Stats!F$12))+IF(F427="HALF STR",IF(Stats!F$11&lt;1,Stats!F$11,INT(Stats!F$11/2)))</f>
        <v>0</v>
      </c>
      <c r="G428" s="291">
        <f>IF(G427="STR",Stats!G$11)+IF(G427="DEX",Stats!G$12)+IF(G427="STR/DEX",MAX(Stats!G$11,Stats!G$12))+IF(G427="HALF STR",IF(Stats!G$11&lt;1,Stats!G$11,INT(Stats!G$11/2)))</f>
        <v>2</v>
      </c>
      <c r="H428" s="291">
        <f>IF(H427="STR",Stats!H$11)+IF(H427="DEX",Stats!H$12)+IF(H427="STR/DEX",MAX(Stats!H$11,Stats!H$12))+IF(H427="HALF STR",IF(Stats!H$11&lt;1,Stats!H$11,INT(Stats!H$11/2)))</f>
        <v>0</v>
      </c>
      <c r="I428" s="295">
        <f>IF(I427="STR",Stats!I$11)+IF(I427="DEX",Stats!I$12)+IF(I427="STR/DEX",MAX(Stats!I$11,Stats!I$12))+IF(I427="HALF STR",IF(Stats!I$11&lt;1,Stats!I$11,INT(Stats!I$11/2)))</f>
        <v>4</v>
      </c>
    </row>
    <row r="429" spans="1:9" ht="15.75" hidden="1" outlineLevel="1" thickBot="1" x14ac:dyDescent="0.3">
      <c r="A429" s="311" t="s">
        <v>352</v>
      </c>
      <c r="B429" s="327">
        <v>1</v>
      </c>
      <c r="C429" s="297">
        <v>1</v>
      </c>
      <c r="D429" s="297">
        <v>1</v>
      </c>
      <c r="E429" s="297">
        <v>1</v>
      </c>
      <c r="F429" s="297">
        <v>1</v>
      </c>
      <c r="G429" s="297">
        <v>1</v>
      </c>
      <c r="H429" s="1100">
        <v>1</v>
      </c>
      <c r="I429" s="298">
        <v>1</v>
      </c>
    </row>
    <row r="430" spans="1:9" ht="15.75" collapsed="1" thickBot="1" x14ac:dyDescent="0.3">
      <c r="A430" s="315" t="s">
        <v>81</v>
      </c>
      <c r="B430" s="331" t="s">
        <v>368</v>
      </c>
      <c r="C430" s="332" t="s">
        <v>368</v>
      </c>
      <c r="D430" s="332" t="s">
        <v>368</v>
      </c>
      <c r="E430" s="332" t="s">
        <v>368</v>
      </c>
      <c r="F430" s="332" t="s">
        <v>734</v>
      </c>
      <c r="G430" s="332" t="s">
        <v>368</v>
      </c>
      <c r="H430" s="1101" t="s">
        <v>368</v>
      </c>
      <c r="I430" s="333" t="s">
        <v>368</v>
      </c>
    </row>
    <row r="431" spans="1:9" hidden="1" outlineLevel="1" x14ac:dyDescent="0.25">
      <c r="A431" s="314" t="s">
        <v>330</v>
      </c>
      <c r="B431" s="328" t="s">
        <v>354</v>
      </c>
      <c r="C431" s="309" t="s">
        <v>354</v>
      </c>
      <c r="D431" s="309" t="s">
        <v>354</v>
      </c>
      <c r="E431" s="309" t="s">
        <v>354</v>
      </c>
      <c r="F431" s="309" t="s">
        <v>354</v>
      </c>
      <c r="G431" s="309" t="s">
        <v>354</v>
      </c>
      <c r="H431" s="1108" t="s">
        <v>354</v>
      </c>
      <c r="I431" s="329" t="s">
        <v>354</v>
      </c>
    </row>
    <row r="432" spans="1:9" hidden="1" outlineLevel="1" x14ac:dyDescent="0.25">
      <c r="A432" s="310" t="s">
        <v>336</v>
      </c>
      <c r="B432" s="323" t="s">
        <v>366</v>
      </c>
      <c r="C432" s="308" t="s">
        <v>366</v>
      </c>
      <c r="D432" s="308" t="s">
        <v>366</v>
      </c>
      <c r="E432" s="308" t="s">
        <v>366</v>
      </c>
      <c r="F432" s="303" t="s">
        <v>345</v>
      </c>
      <c r="G432" s="308" t="s">
        <v>366</v>
      </c>
      <c r="H432" s="1112" t="s">
        <v>366</v>
      </c>
      <c r="I432" s="338" t="s">
        <v>366</v>
      </c>
    </row>
    <row r="433" spans="1:9" collapsed="1" x14ac:dyDescent="0.25">
      <c r="A433" s="310" t="s">
        <v>334</v>
      </c>
      <c r="B433" s="929" t="s">
        <v>370</v>
      </c>
      <c r="C433" s="923" t="s">
        <v>370</v>
      </c>
      <c r="D433" s="923" t="s">
        <v>370</v>
      </c>
      <c r="E433" s="923" t="s">
        <v>370</v>
      </c>
      <c r="F433" s="308" t="s">
        <v>391</v>
      </c>
      <c r="G433" s="923" t="s">
        <v>370</v>
      </c>
      <c r="H433" s="1110" t="s">
        <v>370</v>
      </c>
      <c r="I433" s="924" t="s">
        <v>370</v>
      </c>
    </row>
    <row r="434" spans="1:9" x14ac:dyDescent="0.25">
      <c r="A434" s="310" t="s">
        <v>334</v>
      </c>
      <c r="B434" s="919" t="s">
        <v>367</v>
      </c>
      <c r="C434" s="921" t="s">
        <v>367</v>
      </c>
      <c r="D434" s="921" t="s">
        <v>367</v>
      </c>
      <c r="E434" s="921" t="s">
        <v>367</v>
      </c>
      <c r="F434" s="786" t="s">
        <v>374</v>
      </c>
      <c r="G434" s="921" t="s">
        <v>367</v>
      </c>
      <c r="H434" s="1111" t="s">
        <v>367</v>
      </c>
      <c r="I434" s="925" t="s">
        <v>367</v>
      </c>
    </row>
    <row r="435" spans="1:9" x14ac:dyDescent="0.25">
      <c r="A435" s="310" t="s">
        <v>334</v>
      </c>
      <c r="B435" s="323" t="s">
        <v>371</v>
      </c>
      <c r="C435" s="308" t="s">
        <v>371</v>
      </c>
      <c r="D435" s="308" t="s">
        <v>371</v>
      </c>
      <c r="E435" s="308" t="s">
        <v>371</v>
      </c>
      <c r="F435" s="786" t="s">
        <v>374</v>
      </c>
      <c r="G435" s="308" t="s">
        <v>371</v>
      </c>
      <c r="H435" s="1112" t="s">
        <v>371</v>
      </c>
      <c r="I435" s="338" t="s">
        <v>371</v>
      </c>
    </row>
    <row r="436" spans="1:9" s="460" customFormat="1" hidden="1" outlineLevel="1" x14ac:dyDescent="0.25">
      <c r="A436" s="310" t="s">
        <v>334</v>
      </c>
      <c r="B436" s="785" t="s">
        <v>374</v>
      </c>
      <c r="C436" s="786" t="s">
        <v>374</v>
      </c>
      <c r="D436" s="786" t="s">
        <v>374</v>
      </c>
      <c r="E436" s="786" t="s">
        <v>374</v>
      </c>
      <c r="F436" s="786" t="s">
        <v>374</v>
      </c>
      <c r="G436" s="786" t="s">
        <v>374</v>
      </c>
      <c r="H436" s="1104" t="s">
        <v>374</v>
      </c>
      <c r="I436" s="784" t="s">
        <v>374</v>
      </c>
    </row>
    <row r="437" spans="1:9" s="460" customFormat="1" hidden="1" outlineLevel="1" x14ac:dyDescent="0.25">
      <c r="A437" s="310" t="s">
        <v>334</v>
      </c>
      <c r="B437" s="785" t="s">
        <v>374</v>
      </c>
      <c r="C437" s="786" t="s">
        <v>374</v>
      </c>
      <c r="D437" s="786" t="s">
        <v>374</v>
      </c>
      <c r="E437" s="786" t="s">
        <v>374</v>
      </c>
      <c r="F437" s="786" t="s">
        <v>374</v>
      </c>
      <c r="G437" s="786" t="s">
        <v>374</v>
      </c>
      <c r="H437" s="1104" t="s">
        <v>374</v>
      </c>
      <c r="I437" s="784" t="s">
        <v>374</v>
      </c>
    </row>
    <row r="438" spans="1:9" hidden="1" outlineLevel="1" x14ac:dyDescent="0.25">
      <c r="A438" s="310" t="s">
        <v>337</v>
      </c>
      <c r="B438" s="322" t="s">
        <v>356</v>
      </c>
      <c r="C438" s="303" t="s">
        <v>356</v>
      </c>
      <c r="D438" s="303" t="s">
        <v>356</v>
      </c>
      <c r="E438" s="303" t="s">
        <v>356</v>
      </c>
      <c r="F438" s="303" t="s">
        <v>353</v>
      </c>
      <c r="G438" s="303" t="s">
        <v>356</v>
      </c>
      <c r="H438" s="822" t="s">
        <v>356</v>
      </c>
      <c r="I438" s="307" t="s">
        <v>356</v>
      </c>
    </row>
    <row r="439" spans="1:9" hidden="1" outlineLevel="1" x14ac:dyDescent="0.25">
      <c r="A439" s="310" t="s">
        <v>347</v>
      </c>
      <c r="B439" s="322" t="s">
        <v>357</v>
      </c>
      <c r="C439" s="303" t="s">
        <v>357</v>
      </c>
      <c r="D439" s="303" t="s">
        <v>357</v>
      </c>
      <c r="E439" s="303" t="s">
        <v>357</v>
      </c>
      <c r="F439" s="303" t="s">
        <v>357</v>
      </c>
      <c r="G439" s="303" t="s">
        <v>357</v>
      </c>
      <c r="H439" s="822" t="s">
        <v>357</v>
      </c>
      <c r="I439" s="307" t="s">
        <v>357</v>
      </c>
    </row>
    <row r="440" spans="1:9" hidden="1" outlineLevel="1" x14ac:dyDescent="0.25">
      <c r="A440" s="310" t="s">
        <v>338</v>
      </c>
      <c r="B440" s="324">
        <v>1</v>
      </c>
      <c r="C440" s="291">
        <v>1</v>
      </c>
      <c r="D440" s="291">
        <v>1</v>
      </c>
      <c r="E440" s="291">
        <v>1</v>
      </c>
      <c r="F440" s="291">
        <v>1</v>
      </c>
      <c r="G440" s="291">
        <v>1</v>
      </c>
      <c r="H440" s="1099">
        <v>1</v>
      </c>
      <c r="I440" s="295">
        <v>1</v>
      </c>
    </row>
    <row r="441" spans="1:9" s="460" customFormat="1" hidden="1" outlineLevel="1" x14ac:dyDescent="0.25">
      <c r="A441" s="310" t="s">
        <v>344</v>
      </c>
      <c r="B441" s="785" t="s">
        <v>374</v>
      </c>
      <c r="C441" s="786" t="s">
        <v>374</v>
      </c>
      <c r="D441" s="786" t="s">
        <v>374</v>
      </c>
      <c r="E441" s="786" t="s">
        <v>374</v>
      </c>
      <c r="F441" s="786" t="s">
        <v>374</v>
      </c>
      <c r="G441" s="786" t="s">
        <v>374</v>
      </c>
      <c r="H441" s="1104" t="s">
        <v>374</v>
      </c>
      <c r="I441" s="784" t="s">
        <v>374</v>
      </c>
    </row>
    <row r="442" spans="1:9" s="460" customFormat="1" hidden="1" outlineLevel="1" x14ac:dyDescent="0.25">
      <c r="A442" s="310" t="s">
        <v>349</v>
      </c>
      <c r="B442" s="785" t="s">
        <v>374</v>
      </c>
      <c r="C442" s="786" t="s">
        <v>374</v>
      </c>
      <c r="D442" s="786" t="s">
        <v>374</v>
      </c>
      <c r="E442" s="786" t="s">
        <v>374</v>
      </c>
      <c r="F442" s="786" t="s">
        <v>374</v>
      </c>
      <c r="G442" s="786" t="s">
        <v>374</v>
      </c>
      <c r="H442" s="1104" t="s">
        <v>374</v>
      </c>
      <c r="I442" s="784" t="s">
        <v>374</v>
      </c>
    </row>
    <row r="443" spans="1:9" s="460" customFormat="1" hidden="1" outlineLevel="1" x14ac:dyDescent="0.25">
      <c r="A443" s="310" t="s">
        <v>339</v>
      </c>
      <c r="B443" s="326"/>
      <c r="C443" s="304"/>
      <c r="D443" s="304"/>
      <c r="E443" s="304"/>
      <c r="F443" s="291">
        <v>1</v>
      </c>
      <c r="G443" s="304"/>
      <c r="H443" s="1118"/>
      <c r="I443" s="313"/>
    </row>
    <row r="444" spans="1:9" ht="15.75" collapsed="1" thickBot="1" x14ac:dyDescent="0.3">
      <c r="A444" s="312" t="s">
        <v>335</v>
      </c>
      <c r="B444" s="325" t="s">
        <v>369</v>
      </c>
      <c r="C444" s="319" t="s">
        <v>369</v>
      </c>
      <c r="D444" s="319" t="s">
        <v>369</v>
      </c>
      <c r="E444" s="319" t="s">
        <v>369</v>
      </c>
      <c r="F444" s="341" t="s">
        <v>358</v>
      </c>
      <c r="G444" s="319" t="s">
        <v>369</v>
      </c>
      <c r="H444" s="1106" t="s">
        <v>369</v>
      </c>
      <c r="I444" s="339" t="s">
        <v>369</v>
      </c>
    </row>
    <row r="445" spans="1:9" ht="15.75" hidden="1" outlineLevel="1" thickBot="1" x14ac:dyDescent="0.3">
      <c r="A445" s="315" t="s">
        <v>343</v>
      </c>
      <c r="B445" s="320" t="str">
        <f>B451&amp;"/"&amp;(B451+B452)&amp;"/"&amp;(B451+2*B452)</f>
        <v>10/6/2</v>
      </c>
      <c r="C445" s="318" t="str">
        <f t="shared" ref="C445:H445" si="222">C451&amp;"/"&amp;(C451+C452)&amp;"/"&amp;(C451+2*C452)</f>
        <v>9/5/1</v>
      </c>
      <c r="D445" s="318" t="str">
        <f t="shared" si="222"/>
        <v>9/5/1</v>
      </c>
      <c r="E445" s="318" t="str">
        <f t="shared" si="222"/>
        <v>13/9/5</v>
      </c>
      <c r="F445" s="318" t="str">
        <f t="shared" si="222"/>
        <v>7/2/-3</v>
      </c>
      <c r="G445" s="318" t="str">
        <f t="shared" si="222"/>
        <v>13/9/5</v>
      </c>
      <c r="H445" s="1107" t="str">
        <f t="shared" si="222"/>
        <v>13/9/5</v>
      </c>
      <c r="I445" s="342" t="str">
        <f t="shared" ref="I445" si="223">I451&amp;"/"&amp;(I451+I452)&amp;"/"&amp;(I451+2*I452)</f>
        <v>13/9/5</v>
      </c>
    </row>
    <row r="446" spans="1:9" hidden="1" outlineLevel="1" x14ac:dyDescent="0.25">
      <c r="A446" s="349" t="s">
        <v>79</v>
      </c>
      <c r="B446" s="920" t="s">
        <v>234</v>
      </c>
      <c r="C446" s="922" t="s">
        <v>234</v>
      </c>
      <c r="D446" s="922" t="s">
        <v>234</v>
      </c>
      <c r="E446" s="922" t="s">
        <v>234</v>
      </c>
      <c r="F446" s="309" t="s">
        <v>10</v>
      </c>
      <c r="G446" s="922" t="s">
        <v>234</v>
      </c>
      <c r="H446" s="1113" t="s">
        <v>234</v>
      </c>
      <c r="I446" s="927" t="s">
        <v>234</v>
      </c>
    </row>
    <row r="447" spans="1:9" hidden="1" outlineLevel="1" x14ac:dyDescent="0.25">
      <c r="A447" s="310" t="s">
        <v>324</v>
      </c>
      <c r="B447" s="322" t="str">
        <f>IF(B432="Simple",Skills!B$137,"")&amp;IF(B432="Martial",Skills!B$139,"")&amp;IF(B432="Advanced",Skills!B$141,"")&amp;IF(B432="Bomb",Skills!B$143,"")&amp;IF(B432="Unarmed",Skills!B$145,"")&amp;IF(B432="Specific 1",Skills!B$147,"")&amp;IF(B432="Specific 2",Skills!B$150,"")</f>
        <v>Trained</v>
      </c>
      <c r="C447" s="303" t="str">
        <f>IF(C432="Simple",Skills!C$137,"")&amp;IF(C432="Martial",Skills!C$139,"")&amp;IF(C432="Advanced",Skills!C$141,"")&amp;IF(C432="Bomb",Skills!C$143,"")&amp;IF(C432="Unarmed",Skills!C$145,"")&amp;IF(C432="Specific 1",Skills!C$147,"")&amp;IF(C432="Specific 2",Skills!C$150,"")</f>
        <v>Trained</v>
      </c>
      <c r="D447" s="303" t="str">
        <f>IF(D432="Simple",Skills!D$137,"")&amp;IF(D432="Martial",Skills!D$139,"")&amp;IF(D432="Advanced",Skills!D$141,"")&amp;IF(D432="Bomb",Skills!D$143,"")&amp;IF(D432="Unarmed",Skills!D$145,"")&amp;IF(D432="Specific 1",Skills!D$147,"")&amp;IF(D432="Specific 2",Skills!D$150,"")</f>
        <v>Trained</v>
      </c>
      <c r="E447" s="303" t="str">
        <f>IF(E432="Simple",Skills!E$137,"")&amp;IF(E432="Martial",Skills!E$139,"")&amp;IF(E432="Advanced",Skills!E$141,"")&amp;IF(E432="Bomb",Skills!E$143,"")&amp;IF(E432="Unarmed",Skills!E$145,"")&amp;IF(E432="Specific 1",Skills!E$147,"")&amp;IF(E432="Specific 2",Skills!E$150,"")</f>
        <v>Expert</v>
      </c>
      <c r="F447" s="303" t="str">
        <f>IF(F432="Simple",Skills!F$137,"")&amp;IF(F432="Martial",Skills!F$139,"")&amp;IF(F432="Advanced",Skills!F$141,"")&amp;IF(F432="Bomb",Skills!F$143,"")&amp;IF(F432="Unarmed",Skills!F$145,"")&amp;IF(F432="Specific 1",Skills!F$147,"")&amp;IF(F432="Specific 2",Skills!F$150,"")</f>
        <v>Trained</v>
      </c>
      <c r="G447" s="303" t="str">
        <f>IF(G432="Simple",Skills!G$137,"")&amp;IF(G432="Martial",Skills!G$139,"")&amp;IF(G432="Advanced",Skills!G$141,"")&amp;IF(G432="Bomb",Skills!G$143,"")&amp;IF(G432="Unarmed",Skills!G$145,"")&amp;IF(G432="Specific 1",Skills!G$147,"")&amp;IF(G432="Specific 2",Skills!G$150,"")</f>
        <v>Expert</v>
      </c>
      <c r="H447" s="822" t="str">
        <f>IF(H432="Simple",Skills!H$137,"")&amp;IF(H432="Martial",Skills!H$139,"")&amp;IF(H432="Advanced",Skills!H$141,"")&amp;IF(H432="Bomb",Skills!H$143,"")&amp;IF(H432="Unarmed",Skills!H$145,"")&amp;IF(H432="Specific 1",Skills!H$147,"")&amp;IF(H432="Specific 2",Skills!H$150,"")</f>
        <v>Expert</v>
      </c>
      <c r="I447" s="307" t="str">
        <f>IF(I432="Simple",Skills!I$137,"")&amp;IF(I432="Martial",Skills!I$139,"")&amp;IF(I432="Advanced",Skills!I$141,"")&amp;IF(I432="Bomb",Skills!I$143,"")&amp;IF(I432="Unarmed",Skills!I$145,"")&amp;IF(I432="Specific 1",Skills!I$147,"")&amp;IF(I432="Specific 2",Skills!I$150,"")</f>
        <v>Expert</v>
      </c>
    </row>
    <row r="448" spans="1:9" hidden="1" outlineLevel="1" x14ac:dyDescent="0.25">
      <c r="A448" s="310" t="s">
        <v>341</v>
      </c>
      <c r="B448" s="324">
        <f>IF(B446="STR",Stats!B$11)+IF(B446="DEX",Stats!B$12)+IF(B446="STR/DEX",MAX(Stats!B$11,Stats!B$12))</f>
        <v>3</v>
      </c>
      <c r="C448" s="291">
        <f>IF(C446="STR",Stats!C$11)+IF(C446="DEX",Stats!C$12)+IF(C446="STR/DEX",MAX(Stats!C$11,Stats!C$12))</f>
        <v>2</v>
      </c>
      <c r="D448" s="291">
        <f>IF(D446="STR",Stats!D$11)+IF(D446="DEX",Stats!D$12)+IF(D446="STR/DEX",MAX(Stats!D$11,Stats!D$12))</f>
        <v>2</v>
      </c>
      <c r="E448" s="291">
        <f>IF(E446="STR",Stats!E$11)+IF(E446="DEX",Stats!E$12)+IF(E446="STR/DEX",MAX(Stats!E$11,Stats!E$12))</f>
        <v>4</v>
      </c>
      <c r="F448" s="291">
        <f>IF(F446="STR",Stats!F$11)+IF(F446="DEX",Stats!F$12)+IF(F446="STR/DEX",MAX(Stats!F$11,Stats!F$12))</f>
        <v>0</v>
      </c>
      <c r="G448" s="291">
        <f>IF(G446="STR",Stats!G$11)+IF(G446="DEX",Stats!G$12)+IF(G446="STR/DEX",MAX(Stats!G$11,Stats!G$12))</f>
        <v>4</v>
      </c>
      <c r="H448" s="1099">
        <f>IF(H446="STR",Stats!H$11)+IF(H446="DEX",Stats!H$12)+IF(H446="STR/DEX",MAX(Stats!H$11,Stats!H$12))</f>
        <v>4</v>
      </c>
      <c r="I448" s="295">
        <f>IF(I446="STR",Stats!I$11)+IF(I446="DEX",Stats!I$12)+IF(I446="STR/DEX",MAX(Stats!I$11,Stats!I$12))</f>
        <v>4</v>
      </c>
    </row>
    <row r="449" spans="1:9" hidden="1" outlineLevel="1" x14ac:dyDescent="0.25">
      <c r="A449" s="310" t="s">
        <v>91</v>
      </c>
      <c r="B449" s="324">
        <f>IF(B432="Simple",Skills!B$195,0)+IF(B432="Martial",Skills!B$196,0)+IF(B432="Advanced",Skills!B$197,0)+IF(B432="Bomb",Skills!B$198,0)+IF(B432="Unarmed",Skills!B$199,0)+IF(B432="Specific 1",Skills!B$200,0)+IF(B432="Specific 2",Skills!B$201,0)</f>
        <v>7</v>
      </c>
      <c r="C449" s="291">
        <f>IF(C432="Simple",Skills!C$195,0)+IF(C432="Martial",Skills!C$196,0)+IF(C432="Advanced",Skills!C$197,0)+IF(C432="Bomb",Skills!C$198,0)+IF(C432="Unarmed",Skills!C$199,0)+IF(C432="Specific 1",Skills!C$200,0)+IF(C432="Specific 2",Skills!C$201,0)</f>
        <v>7</v>
      </c>
      <c r="D449" s="291">
        <f>IF(D432="Simple",Skills!D$195,0)+IF(D432="Martial",Skills!D$196,0)+IF(D432="Advanced",Skills!D$197,0)+IF(D432="Bomb",Skills!D$198,0)+IF(D432="Unarmed",Skills!D$199,0)+IF(D432="Specific 1",Skills!D$200,0)+IF(D432="Specific 2",Skills!D$201,0)</f>
        <v>7</v>
      </c>
      <c r="E449" s="291">
        <f>IF(E432="Simple",Skills!E$195,0)+IF(E432="Martial",Skills!E$196,0)+IF(E432="Advanced",Skills!E$197,0)+IF(E432="Bomb",Skills!E$198,0)+IF(E432="Unarmed",Skills!E$199,0)+IF(E432="Specific 1",Skills!E$200,0)+IF(E432="Specific 2",Skills!E$201,0)</f>
        <v>9</v>
      </c>
      <c r="F449" s="291">
        <f>IF(F432="Simple",Skills!F$195,0)+IF(F432="Martial",Skills!F$196,0)+IF(F432="Advanced",Skills!F$197,0)+IF(F432="Bomb",Skills!F$198,0)+IF(F432="Unarmed",Skills!F$199,0)+IF(F432="Specific 1",Skills!F$200,0)+IF(F432="Specific 2",Skills!F$201,0)</f>
        <v>7</v>
      </c>
      <c r="G449" s="291">
        <f>IF(G432="Simple",Skills!G$195,0)+IF(G432="Martial",Skills!G$196,0)+IF(G432="Advanced",Skills!G$197,0)+IF(G432="Bomb",Skills!G$198,0)+IF(G432="Unarmed",Skills!G$199,0)+IF(G432="Specific 1",Skills!G$200,0)+IF(G432="Specific 2",Skills!G$201,0)</f>
        <v>9</v>
      </c>
      <c r="H449" s="1099">
        <f>IF(H432="Simple",Skills!H$195,0)+IF(H432="Martial",Skills!H$196,0)+IF(H432="Advanced",Skills!H$197,0)+IF(H432="Bomb",Skills!H$198,0)+IF(H432="Unarmed",Skills!H$199,0)+IF(H432="Specific 1",Skills!H$200,0)+IF(H432="Specific 2",Skills!H$201,0)</f>
        <v>9</v>
      </c>
      <c r="I449" s="295">
        <f>IF(I432="Simple",Skills!I$195,0)+IF(I432="Martial",Skills!I$196,0)+IF(I432="Advanced",Skills!I$197,0)+IF(I432="Bomb",Skills!I$198,0)+IF(I432="Unarmed",Skills!I$199,0)+IF(I432="Specific 1",Skills!I$200,0)+IF(I432="Specific 2",Skills!I$201,0)</f>
        <v>9</v>
      </c>
    </row>
    <row r="450" spans="1:9" hidden="1" outlineLevel="1" x14ac:dyDescent="0.25">
      <c r="A450" s="310" t="s">
        <v>342</v>
      </c>
      <c r="B450" s="324"/>
      <c r="C450" s="291"/>
      <c r="D450" s="291"/>
      <c r="E450" s="291"/>
      <c r="F450" s="291"/>
      <c r="G450" s="291"/>
      <c r="H450" s="1099"/>
      <c r="I450" s="295"/>
    </row>
    <row r="451" spans="1:9" s="460" customFormat="1" hidden="1" outlineLevel="1" x14ac:dyDescent="0.25">
      <c r="A451" s="310" t="s">
        <v>792</v>
      </c>
      <c r="B451" s="324">
        <f>SUM(B448:B450)</f>
        <v>10</v>
      </c>
      <c r="C451" s="291">
        <f t="shared" ref="C451:H451" si="224">SUM(C448:C450)</f>
        <v>9</v>
      </c>
      <c r="D451" s="291">
        <f t="shared" si="224"/>
        <v>9</v>
      </c>
      <c r="E451" s="291">
        <f t="shared" si="224"/>
        <v>13</v>
      </c>
      <c r="F451" s="291">
        <f t="shared" si="224"/>
        <v>7</v>
      </c>
      <c r="G451" s="291">
        <f t="shared" si="224"/>
        <v>13</v>
      </c>
      <c r="H451" s="1099">
        <f t="shared" si="224"/>
        <v>13</v>
      </c>
      <c r="I451" s="295">
        <f t="shared" ref="I451" si="225">SUM(I448:I450)</f>
        <v>13</v>
      </c>
    </row>
    <row r="452" spans="1:9" s="460" customFormat="1" ht="15.75" hidden="1" outlineLevel="1" thickBot="1" x14ac:dyDescent="0.3">
      <c r="A452" s="311" t="s">
        <v>793</v>
      </c>
      <c r="B452" s="930">
        <v>-4</v>
      </c>
      <c r="C452" s="926">
        <v>-4</v>
      </c>
      <c r="D452" s="926">
        <v>-4</v>
      </c>
      <c r="E452" s="926">
        <v>-4</v>
      </c>
      <c r="F452" s="297">
        <v>-5</v>
      </c>
      <c r="G452" s="926">
        <v>-4</v>
      </c>
      <c r="H452" s="1114">
        <v>-4</v>
      </c>
      <c r="I452" s="928">
        <v>-4</v>
      </c>
    </row>
    <row r="453" spans="1:9" ht="15.75" hidden="1" outlineLevel="1" thickBot="1" x14ac:dyDescent="0.3">
      <c r="A453" s="315" t="s">
        <v>337</v>
      </c>
      <c r="B453" s="320" t="str">
        <f t="shared" ref="B453:H453" si="226">CONCATENATE(B456,B438,"+",B455)</f>
        <v>1d4+0</v>
      </c>
      <c r="C453" s="318" t="str">
        <f t="shared" si="226"/>
        <v>1d4+0</v>
      </c>
      <c r="D453" s="318" t="str">
        <f t="shared" ref="D453" si="227">CONCATENATE(D456,D438,"+",D455)</f>
        <v>1d4+2</v>
      </c>
      <c r="E453" s="318" t="str">
        <f t="shared" si="226"/>
        <v>1d4+4</v>
      </c>
      <c r="F453" s="347" t="str">
        <f t="shared" si="226"/>
        <v>1d6+0</v>
      </c>
      <c r="G453" s="318" t="str">
        <f t="shared" si="226"/>
        <v>1d4+2</v>
      </c>
      <c r="H453" s="1107" t="str">
        <f t="shared" si="226"/>
        <v>1d4+4</v>
      </c>
      <c r="I453" s="342" t="str">
        <f t="shared" ref="I453" si="228">CONCATENATE(I456,I438,"+",I455)</f>
        <v>1d4+4</v>
      </c>
    </row>
    <row r="454" spans="1:9" hidden="1" outlineLevel="1" x14ac:dyDescent="0.25">
      <c r="A454" s="314" t="s">
        <v>79</v>
      </c>
      <c r="B454" s="321" t="s">
        <v>10</v>
      </c>
      <c r="C454" s="316" t="s">
        <v>10</v>
      </c>
      <c r="D454" s="316" t="s">
        <v>10</v>
      </c>
      <c r="E454" s="316" t="s">
        <v>10</v>
      </c>
      <c r="F454" s="316" t="s">
        <v>10</v>
      </c>
      <c r="G454" s="316" t="s">
        <v>10</v>
      </c>
      <c r="H454" s="1102" t="s">
        <v>10</v>
      </c>
      <c r="I454" s="927" t="s">
        <v>234</v>
      </c>
    </row>
    <row r="455" spans="1:9" hidden="1" outlineLevel="1" x14ac:dyDescent="0.25">
      <c r="A455" s="310" t="s">
        <v>341</v>
      </c>
      <c r="B455" s="291">
        <f>IF(B454="STR",Stats!B$11)+IF(B454="DEX",Stats!B$12)+IF(B454="STR/DEX",MAX(Stats!B$11,Stats!B$12))+IF(B454="PRO",IF(Stats!B$11&gt;0,INT(Stats!B$11/2),Stats!B$11))</f>
        <v>0</v>
      </c>
      <c r="C455" s="291">
        <f>IF(C454="STR",Stats!C$11)+IF(C454="DEX",Stats!C$12)+IF(C454="STR/DEX",MAX(Stats!C$11,Stats!C$12))+IF(C454="PRO",IF(Stats!C$11&gt;0,INT(Stats!C$11/2),Stats!C$11))</f>
        <v>0</v>
      </c>
      <c r="D455" s="291">
        <f>IF(D454="STR",Stats!D$11)+IF(D454="DEX",Stats!D$12)+IF(D454="STR/DEX",MAX(Stats!D$11,Stats!D$12))+IF(D454="PRO",IF(Stats!D$11&gt;0,INT(Stats!D$11/2),Stats!D$11))</f>
        <v>2</v>
      </c>
      <c r="E455" s="291">
        <f>IF(E454="STR",Stats!E$11)+IF(E454="DEX",Stats!E$12)+IF(E454="STR/DEX",MAX(Stats!E$11,Stats!E$12))+IF(E454="PRO",IF(Stats!E$11&gt;0,INT(Stats!E$11/2),Stats!E$11))</f>
        <v>4</v>
      </c>
      <c r="F455" s="291">
        <f>IF(F454="STR",Stats!F$11)+IF(F454="DEX",Stats!F$12)+IF(F454="STR/DEX",MAX(Stats!F$11,Stats!F$12))+IF(F454="PRO",IF(Stats!F$11&gt;0,INT(Stats!F$11/2),Stats!F$11))</f>
        <v>0</v>
      </c>
      <c r="G455" s="291">
        <f>IF(G454="STR",Stats!G$11)+IF(G454="DEX",Stats!G$12)+IF(G454="STR/DEX",MAX(Stats!G$11,Stats!G$12))+IF(G454="PRO",IF(Stats!G$11&gt;0,INT(Stats!G$11/2),Stats!G$11))</f>
        <v>2</v>
      </c>
      <c r="H455" s="291">
        <f>IF(H454="STR",Stats!H$11)+IF(H454="DEX",Stats!H$12)+IF(H454="STR/DEX",MAX(Stats!H$11,Stats!H$12))+IF(H454="PRO",IF(Stats!H$11&gt;0,INT(Stats!H$11/2),Stats!H$11))</f>
        <v>4</v>
      </c>
      <c r="I455" s="295">
        <f>IF(I454="STR",Stats!I$11)+IF(I454="DEX",Stats!I$12)+IF(I454="STR/DEX",MAX(Stats!I$11,Stats!I$12))+IF(I454="PRO",IF(Stats!I$11&gt;0,INT(Stats!I$11/2),Stats!I$11))</f>
        <v>4</v>
      </c>
    </row>
    <row r="456" spans="1:9" ht="15.75" hidden="1" outlineLevel="1" thickBot="1" x14ac:dyDescent="0.3">
      <c r="A456" s="311" t="s">
        <v>352</v>
      </c>
      <c r="B456" s="327">
        <v>1</v>
      </c>
      <c r="C456" s="297">
        <v>1</v>
      </c>
      <c r="D456" s="297">
        <v>1</v>
      </c>
      <c r="E456" s="297">
        <v>1</v>
      </c>
      <c r="F456" s="297">
        <v>1</v>
      </c>
      <c r="G456" s="297">
        <v>1</v>
      </c>
      <c r="H456" s="1100">
        <v>1</v>
      </c>
      <c r="I456" s="298">
        <v>1</v>
      </c>
    </row>
    <row r="457" spans="1:9" s="460" customFormat="1" ht="15.75" collapsed="1" thickBot="1" x14ac:dyDescent="0.3">
      <c r="A457" s="315" t="s">
        <v>81</v>
      </c>
      <c r="B457" s="332" t="s">
        <v>655</v>
      </c>
      <c r="C457" s="332" t="s">
        <v>655</v>
      </c>
      <c r="D457" s="1568" t="s">
        <v>1069</v>
      </c>
      <c r="E457" s="1247" t="s">
        <v>964</v>
      </c>
      <c r="F457" s="1247" t="s">
        <v>1063</v>
      </c>
      <c r="G457" s="332" t="s">
        <v>655</v>
      </c>
      <c r="H457" s="1101" t="s">
        <v>651</v>
      </c>
      <c r="I457" s="333" t="s">
        <v>918</v>
      </c>
    </row>
    <row r="458" spans="1:9" s="460" customFormat="1" hidden="1" outlineLevel="1" x14ac:dyDescent="0.25">
      <c r="A458" s="314" t="s">
        <v>330</v>
      </c>
      <c r="B458" s="309" t="s">
        <v>655</v>
      </c>
      <c r="C458" s="309" t="s">
        <v>655</v>
      </c>
      <c r="D458" s="1569" t="s">
        <v>354</v>
      </c>
      <c r="E458" s="316" t="s">
        <v>354</v>
      </c>
      <c r="F458" s="309" t="s">
        <v>344</v>
      </c>
      <c r="G458" s="309" t="s">
        <v>655</v>
      </c>
      <c r="H458" s="1102" t="s">
        <v>354</v>
      </c>
      <c r="I458" s="317" t="s">
        <v>344</v>
      </c>
    </row>
    <row r="459" spans="1:9" s="460" customFormat="1" hidden="1" outlineLevel="1" x14ac:dyDescent="0.25">
      <c r="A459" s="310" t="s">
        <v>336</v>
      </c>
      <c r="B459" s="786" t="s">
        <v>374</v>
      </c>
      <c r="C459" s="786" t="s">
        <v>374</v>
      </c>
      <c r="D459" s="1251" t="s">
        <v>345</v>
      </c>
      <c r="E459" s="786" t="s">
        <v>379</v>
      </c>
      <c r="F459" s="786" t="s">
        <v>345</v>
      </c>
      <c r="G459" s="786" t="s">
        <v>374</v>
      </c>
      <c r="H459" s="822" t="s">
        <v>379</v>
      </c>
      <c r="I459" s="307" t="s">
        <v>345</v>
      </c>
    </row>
    <row r="460" spans="1:9" s="460" customFormat="1" collapsed="1" x14ac:dyDescent="0.25">
      <c r="A460" s="310" t="s">
        <v>334</v>
      </c>
      <c r="B460" s="786" t="s">
        <v>374</v>
      </c>
      <c r="C460" s="786" t="s">
        <v>374</v>
      </c>
      <c r="D460" s="1570" t="s">
        <v>388</v>
      </c>
      <c r="E460" s="308" t="s">
        <v>372</v>
      </c>
      <c r="F460" s="308" t="s">
        <v>686</v>
      </c>
      <c r="G460" s="786" t="s">
        <v>374</v>
      </c>
      <c r="H460" s="1112" t="s">
        <v>392</v>
      </c>
      <c r="I460" s="924" t="s">
        <v>370</v>
      </c>
    </row>
    <row r="461" spans="1:9" s="460" customFormat="1" x14ac:dyDescent="0.25">
      <c r="A461" s="310" t="s">
        <v>334</v>
      </c>
      <c r="B461" s="786" t="s">
        <v>374</v>
      </c>
      <c r="C461" s="786" t="s">
        <v>374</v>
      </c>
      <c r="D461" s="1571" t="s">
        <v>370</v>
      </c>
      <c r="E461" s="330" t="s">
        <v>388</v>
      </c>
      <c r="F461" s="1251" t="s">
        <v>374</v>
      </c>
      <c r="G461" s="786" t="s">
        <v>374</v>
      </c>
      <c r="H461" s="1111" t="s">
        <v>367</v>
      </c>
      <c r="I461" s="925" t="s">
        <v>367</v>
      </c>
    </row>
    <row r="462" spans="1:9" s="460" customFormat="1" x14ac:dyDescent="0.25">
      <c r="A462" s="310" t="s">
        <v>334</v>
      </c>
      <c r="B462" s="786" t="s">
        <v>374</v>
      </c>
      <c r="C462" s="786" t="s">
        <v>374</v>
      </c>
      <c r="D462" s="1572" t="s">
        <v>1070</v>
      </c>
      <c r="E462" s="786" t="s">
        <v>374</v>
      </c>
      <c r="F462" s="786" t="s">
        <v>374</v>
      </c>
      <c r="G462" s="786" t="s">
        <v>374</v>
      </c>
      <c r="H462" s="1112" t="s">
        <v>371</v>
      </c>
      <c r="I462" s="338" t="s">
        <v>346</v>
      </c>
    </row>
    <row r="463" spans="1:9" s="460" customFormat="1" x14ac:dyDescent="0.25">
      <c r="A463" s="310" t="s">
        <v>334</v>
      </c>
      <c r="B463" s="786" t="s">
        <v>374</v>
      </c>
      <c r="C463" s="786" t="s">
        <v>374</v>
      </c>
      <c r="D463" s="1572" t="s">
        <v>1071</v>
      </c>
      <c r="E463" s="786" t="s">
        <v>374</v>
      </c>
      <c r="F463" s="786" t="s">
        <v>374</v>
      </c>
      <c r="G463" s="786" t="s">
        <v>374</v>
      </c>
      <c r="H463" s="1112" t="s">
        <v>372</v>
      </c>
      <c r="I463" s="337" t="s">
        <v>388</v>
      </c>
    </row>
    <row r="464" spans="1:9" s="460" customFormat="1" x14ac:dyDescent="0.25">
      <c r="A464" s="310" t="s">
        <v>334</v>
      </c>
      <c r="B464" s="786" t="s">
        <v>374</v>
      </c>
      <c r="C464" s="786" t="s">
        <v>374</v>
      </c>
      <c r="D464" s="1251" t="s">
        <v>374</v>
      </c>
      <c r="E464" s="786" t="s">
        <v>374</v>
      </c>
      <c r="F464" s="786" t="s">
        <v>374</v>
      </c>
      <c r="G464" s="786" t="s">
        <v>374</v>
      </c>
      <c r="H464" s="1112" t="s">
        <v>653</v>
      </c>
      <c r="I464" s="784" t="s">
        <v>374</v>
      </c>
    </row>
    <row r="465" spans="1:9" s="460" customFormat="1" hidden="1" outlineLevel="1" x14ac:dyDescent="0.25">
      <c r="A465" s="310" t="s">
        <v>337</v>
      </c>
      <c r="B465" s="291" t="s">
        <v>655</v>
      </c>
      <c r="C465" s="291" t="s">
        <v>655</v>
      </c>
      <c r="D465" s="1573" t="s">
        <v>356</v>
      </c>
      <c r="E465" s="303" t="s">
        <v>960</v>
      </c>
      <c r="F465" s="303" t="s">
        <v>353</v>
      </c>
      <c r="G465" s="291" t="s">
        <v>655</v>
      </c>
      <c r="H465" s="822" t="s">
        <v>356</v>
      </c>
      <c r="I465" s="307" t="s">
        <v>356</v>
      </c>
    </row>
    <row r="466" spans="1:9" s="460" customFormat="1" hidden="1" outlineLevel="1" x14ac:dyDescent="0.25">
      <c r="A466" s="310" t="s">
        <v>347</v>
      </c>
      <c r="B466" s="786" t="s">
        <v>374</v>
      </c>
      <c r="C466" s="786" t="s">
        <v>374</v>
      </c>
      <c r="D466" s="1573" t="s">
        <v>357</v>
      </c>
      <c r="E466" s="786" t="s">
        <v>348</v>
      </c>
      <c r="F466" s="786" t="s">
        <v>357</v>
      </c>
      <c r="G466" s="786" t="s">
        <v>374</v>
      </c>
      <c r="H466" s="822" t="s">
        <v>382</v>
      </c>
      <c r="I466" s="307" t="s">
        <v>348</v>
      </c>
    </row>
    <row r="467" spans="1:9" s="460" customFormat="1" hidden="1" outlineLevel="1" x14ac:dyDescent="0.25">
      <c r="A467" s="310" t="s">
        <v>338</v>
      </c>
      <c r="B467" s="291" t="s">
        <v>655</v>
      </c>
      <c r="C467" s="291" t="s">
        <v>655</v>
      </c>
      <c r="D467" s="1573">
        <v>1</v>
      </c>
      <c r="E467" s="291">
        <v>2</v>
      </c>
      <c r="F467" s="291">
        <v>1</v>
      </c>
      <c r="G467" s="291" t="s">
        <v>655</v>
      </c>
      <c r="H467" s="1099">
        <v>1</v>
      </c>
      <c r="I467" s="295">
        <v>1</v>
      </c>
    </row>
    <row r="468" spans="1:9" s="460" customFormat="1" hidden="1" outlineLevel="1" x14ac:dyDescent="0.25">
      <c r="A468" s="310" t="s">
        <v>344</v>
      </c>
      <c r="B468" s="786" t="s">
        <v>374</v>
      </c>
      <c r="C468" s="786" t="s">
        <v>374</v>
      </c>
      <c r="D468" s="1251" t="s">
        <v>374</v>
      </c>
      <c r="E468" s="786" t="s">
        <v>374</v>
      </c>
      <c r="F468" s="786" t="s">
        <v>531</v>
      </c>
      <c r="G468" s="786" t="s">
        <v>374</v>
      </c>
      <c r="H468" s="1104" t="s">
        <v>374</v>
      </c>
      <c r="I468" s="784" t="s">
        <v>919</v>
      </c>
    </row>
    <row r="469" spans="1:9" s="460" customFormat="1" hidden="1" outlineLevel="1" x14ac:dyDescent="0.25">
      <c r="A469" s="310" t="s">
        <v>349</v>
      </c>
      <c r="B469" s="786" t="s">
        <v>374</v>
      </c>
      <c r="C469" s="786" t="s">
        <v>374</v>
      </c>
      <c r="D469" s="1251" t="s">
        <v>374</v>
      </c>
      <c r="E469" s="786" t="s">
        <v>374</v>
      </c>
      <c r="F469" s="303" t="s">
        <v>422</v>
      </c>
      <c r="G469" s="786" t="s">
        <v>374</v>
      </c>
      <c r="H469" s="1104" t="s">
        <v>374</v>
      </c>
      <c r="I469" s="784" t="s">
        <v>374</v>
      </c>
    </row>
    <row r="470" spans="1:9" s="460" customFormat="1" hidden="1" outlineLevel="1" x14ac:dyDescent="0.25">
      <c r="A470" s="310" t="s">
        <v>339</v>
      </c>
      <c r="B470" s="291" t="s">
        <v>655</v>
      </c>
      <c r="C470" s="291" t="s">
        <v>655</v>
      </c>
      <c r="D470" s="1574" t="s">
        <v>350</v>
      </c>
      <c r="E470" s="291">
        <v>2</v>
      </c>
      <c r="F470" s="303" t="s">
        <v>350</v>
      </c>
      <c r="G470" s="291" t="s">
        <v>655</v>
      </c>
      <c r="H470" s="1118">
        <v>1</v>
      </c>
      <c r="I470" s="307" t="s">
        <v>350</v>
      </c>
    </row>
    <row r="471" spans="1:9" s="460" customFormat="1" ht="15.75" collapsed="1" thickBot="1" x14ac:dyDescent="0.3">
      <c r="A471" s="312" t="s">
        <v>335</v>
      </c>
      <c r="B471" s="625" t="s">
        <v>374</v>
      </c>
      <c r="C471" s="625" t="s">
        <v>374</v>
      </c>
      <c r="D471" s="1575" t="s">
        <v>369</v>
      </c>
      <c r="E471" s="341" t="s">
        <v>970</v>
      </c>
      <c r="F471" s="1527" t="s">
        <v>672</v>
      </c>
      <c r="G471" s="625" t="s">
        <v>374</v>
      </c>
      <c r="H471" s="1106" t="s">
        <v>652</v>
      </c>
      <c r="I471" s="339" t="s">
        <v>378</v>
      </c>
    </row>
    <row r="472" spans="1:9" s="460" customFormat="1" ht="15.75" hidden="1" outlineLevel="1" thickBot="1" x14ac:dyDescent="0.3">
      <c r="A472" s="315" t="s">
        <v>343</v>
      </c>
      <c r="B472" s="318"/>
      <c r="C472" s="318"/>
      <c r="D472" s="1576" t="str">
        <f t="shared" ref="D472" si="229">D478&amp;"/"&amp;(D478+D479)&amp;"/"&amp;(D478+2*D479)</f>
        <v>10/6/2</v>
      </c>
      <c r="E472" s="318" t="str">
        <f t="shared" ref="B472:I472" si="230">E478&amp;"/"&amp;(E478+E479)&amp;"/"&amp;(E478+2*E479)</f>
        <v>14/9/4</v>
      </c>
      <c r="F472" s="318" t="str">
        <f t="shared" si="230"/>
        <v>11/6/1</v>
      </c>
      <c r="G472" s="318"/>
      <c r="H472" s="1107" t="str">
        <f t="shared" si="230"/>
        <v>13/8/3</v>
      </c>
      <c r="I472" s="342" t="str">
        <f t="shared" si="230"/>
        <v>13/9/5</v>
      </c>
    </row>
    <row r="473" spans="1:9" s="460" customFormat="1" hidden="1" outlineLevel="1" x14ac:dyDescent="0.25">
      <c r="A473" s="349" t="s">
        <v>79</v>
      </c>
      <c r="B473" s="309" t="s">
        <v>655</v>
      </c>
      <c r="C473" s="309" t="s">
        <v>655</v>
      </c>
      <c r="D473" s="1569" t="s">
        <v>10</v>
      </c>
      <c r="E473" s="309" t="s">
        <v>10</v>
      </c>
      <c r="F473" s="309" t="s">
        <v>11</v>
      </c>
      <c r="G473" s="309" t="s">
        <v>655</v>
      </c>
      <c r="H473" s="1108" t="s">
        <v>10</v>
      </c>
      <c r="I473" s="927" t="s">
        <v>234</v>
      </c>
    </row>
    <row r="474" spans="1:9" s="460" customFormat="1" hidden="1" outlineLevel="1" x14ac:dyDescent="0.25">
      <c r="A474" s="310" t="s">
        <v>324</v>
      </c>
      <c r="B474" s="303" t="s">
        <v>655</v>
      </c>
      <c r="C474" s="303" t="s">
        <v>655</v>
      </c>
      <c r="D474" s="1577" t="str">
        <f>IF(D459="Simple",Skills!D$137,"")&amp;IF(D459="Martial",Skills!D$139,"")&amp;IF(D459="Advanced",Skills!D$141,"")&amp;IF(D459="Bomb",Skills!D$143,"")&amp;IF(D459="Unarmed",Skills!D$145,"")&amp;IF(D459="Specific 1",Skills!D$147,"")&amp;IF(D459="Specific 2",Skills!D$150,"")</f>
        <v>Trained</v>
      </c>
      <c r="E474" s="303" t="str">
        <f>IF(E459="Simple",Skills!E$137,"")&amp;IF(E459="Martial",Skills!E$139,"")&amp;IF(E459="Advanced",Skills!E$141,"")&amp;IF(E459="Bomb",Skills!E$143,"")&amp;IF(E459="Unarmed",Skills!E$145,"")&amp;IF(E459="Specific 1",Skills!E$147,"")&amp;IF(E459="Specific 2",Skills!E$150,"")</f>
        <v>Expert</v>
      </c>
      <c r="F474" s="303" t="str">
        <f>IF(F459="Simple",Skills!F$137,"")&amp;IF(F459="Martial",Skills!F$139,"")&amp;IF(F459="Advanced",Skills!F$141,"")&amp;IF(F459="Bomb",Skills!F$143,"")&amp;IF(F459="Unarmed",Skills!F$145,"")&amp;IF(F459="Specific 1",Skills!F$147,"")&amp;IF(F459="Specific 2",Skills!F$150,"")</f>
        <v>Trained</v>
      </c>
      <c r="G474" s="303" t="s">
        <v>655</v>
      </c>
      <c r="H474" s="822" t="str">
        <f>IF(H459="Simple",Skills!H$137,"")&amp;IF(H459="Martial",Skills!H$139,"")&amp;IF(H459="Advanced",Skills!H$141,"")&amp;IF(H459="Bomb",Skills!H$143,"")&amp;IF(H459="Unarmed",Skills!H$145,"")&amp;IF(H459="Specific 1",Skills!H$147,"")&amp;IF(H459="Specific 2",Skills!H$150,"")</f>
        <v>Expert</v>
      </c>
      <c r="I474" s="307" t="str">
        <f>IF(I459="Simple",Skills!I$137,"")&amp;IF(I459="Martial",Skills!I$139,"")&amp;IF(I459="Advanced",Skills!I$141,"")&amp;IF(I459="Bomb",Skills!I$143,"")&amp;IF(I459="Unarmed",Skills!I$145,"")&amp;IF(I459="Specific 1",Skills!I$147,"")&amp;IF(I459="Specific 2",Skills!I$150,"")</f>
        <v>Expert</v>
      </c>
    </row>
    <row r="475" spans="1:9" s="460" customFormat="1" hidden="1" outlineLevel="1" x14ac:dyDescent="0.25">
      <c r="A475" s="310" t="s">
        <v>341</v>
      </c>
      <c r="B475" s="291" t="s">
        <v>655</v>
      </c>
      <c r="C475" s="291" t="s">
        <v>655</v>
      </c>
      <c r="D475" s="1578">
        <f>IF(D473="STR",Stats!D$11)+IF(D473="DEX",Stats!D$12)+IF(D473="STR/DEX",MAX(Stats!D$11,Stats!D$12))</f>
        <v>2</v>
      </c>
      <c r="E475" s="291">
        <f>IF(E473="STR",Stats!E$11)+IF(E473="DEX",Stats!E$12)+IF(E473="STR/DEX",MAX(Stats!E$11,Stats!E$12))</f>
        <v>4</v>
      </c>
      <c r="F475" s="291">
        <f>IF(F473="STR",Stats!F$11)+IF(F473="DEX",Stats!F$12)+IF(F473="STR/DEX",MAX(Stats!F$11,Stats!F$12))</f>
        <v>3</v>
      </c>
      <c r="G475" s="291" t="s">
        <v>655</v>
      </c>
      <c r="H475" s="1099">
        <f>IF(H473="STR",Stats!H$11)+IF(H473="DEX",Stats!H$12)+IF(H473="STR/DEX",MAX(Stats!H$11,Stats!H$12))</f>
        <v>4</v>
      </c>
      <c r="I475" s="295">
        <f>IF(I473="STR",Stats!I$11)+IF(I473="DEX",Stats!I$12)+IF(I473="STR/DEX",MAX(Stats!I$11,Stats!I$12))</f>
        <v>4</v>
      </c>
    </row>
    <row r="476" spans="1:9" s="460" customFormat="1" hidden="1" outlineLevel="1" x14ac:dyDescent="0.25">
      <c r="A476" s="310" t="s">
        <v>91</v>
      </c>
      <c r="B476" s="291" t="s">
        <v>655</v>
      </c>
      <c r="C476" s="291" t="s">
        <v>655</v>
      </c>
      <c r="D476" s="1578">
        <f>IF(D459="Simple",Skills!D$195,0)+IF(D459="Martial",Skills!D$196,0)+IF(D459="Advanced",Skills!D$197,0)+IF(D459="Bomb",Skills!D$198,0)+IF(D459="Unarmed",Skills!D$199,0)+IF(D459="Specific 1",Skills!D$200,0)+IF(D459="Specific 2",Skills!D$201,0)</f>
        <v>7</v>
      </c>
      <c r="E476" s="291">
        <f>IF(E459="Simple",Skills!E$195,0)+IF(E459="Martial",Skills!E$196,0)+IF(E459="Advanced",Skills!E$197,0)+IF(E459="Bomb",Skills!E$198,0)+IF(E459="Unarmed",Skills!E$199,0)+IF(E459="Specific 1",Skills!E$200,0)+IF(E459="Specific 2",Skills!E$201,0)</f>
        <v>9</v>
      </c>
      <c r="F476" s="291">
        <f>IF(F459="Simple",Skills!F$195,0)+IF(F459="Martial",Skills!F$196,0)+IF(F459="Advanced",Skills!F$197,0)+IF(F459="Bomb",Skills!F$198,0)+IF(F459="Unarmed",Skills!F$199,0)+IF(F459="Specific 1",Skills!F$200,0)+IF(F459="Specific 2",Skills!F$201,0)</f>
        <v>7</v>
      </c>
      <c r="G476" s="291" t="s">
        <v>655</v>
      </c>
      <c r="H476" s="1099">
        <f>IF(H459="Simple",Skills!H$195,0)+IF(H459="Martial",Skills!H$196,0)+IF(H459="Advanced",Skills!H$197,0)+IF(H459="Bomb",Skills!H$198,0)+IF(H459="Unarmed",Skills!H$199,0)+IF(H459="Specific 1",Skills!H$200,0)+IF(H459="Specific 2",Skills!H$201,0)</f>
        <v>9</v>
      </c>
      <c r="I476" s="295">
        <f>IF(I459="Simple",Skills!I$195,0)+IF(I459="Martial",Skills!I$196,0)+IF(I459="Advanced",Skills!I$197,0)+IF(I459="Bomb",Skills!I$198,0)+IF(I459="Unarmed",Skills!I$199,0)+IF(I459="Specific 1",Skills!I$200,0)+IF(I459="Specific 2",Skills!I$201,0)</f>
        <v>9</v>
      </c>
    </row>
    <row r="477" spans="1:9" s="460" customFormat="1" hidden="1" outlineLevel="1" x14ac:dyDescent="0.25">
      <c r="A477" s="310" t="s">
        <v>342</v>
      </c>
      <c r="B477" s="291" t="s">
        <v>655</v>
      </c>
      <c r="C477" s="291" t="s">
        <v>655</v>
      </c>
      <c r="D477" s="1579">
        <v>1</v>
      </c>
      <c r="E477" s="1248">
        <v>1</v>
      </c>
      <c r="F477" s="1248">
        <v>1</v>
      </c>
      <c r="G477" s="291" t="s">
        <v>655</v>
      </c>
      <c r="H477" s="1099"/>
      <c r="I477" s="295"/>
    </row>
    <row r="478" spans="1:9" s="460" customFormat="1" hidden="1" outlineLevel="1" x14ac:dyDescent="0.25">
      <c r="A478" s="310" t="s">
        <v>792</v>
      </c>
      <c r="B478" s="291">
        <f t="shared" ref="B478" si="231">SUM(B475:B477)</f>
        <v>0</v>
      </c>
      <c r="C478" s="291">
        <f t="shared" ref="C478:I478" si="232">SUM(C475:C477)</f>
        <v>0</v>
      </c>
      <c r="D478" s="1578">
        <f>SUM(D475:D477)</f>
        <v>10</v>
      </c>
      <c r="E478" s="291">
        <f t="shared" si="232"/>
        <v>14</v>
      </c>
      <c r="F478" s="291">
        <f t="shared" si="232"/>
        <v>11</v>
      </c>
      <c r="G478" s="291">
        <f t="shared" si="232"/>
        <v>0</v>
      </c>
      <c r="H478" s="1099">
        <f t="shared" si="232"/>
        <v>13</v>
      </c>
      <c r="I478" s="295">
        <f t="shared" si="232"/>
        <v>13</v>
      </c>
    </row>
    <row r="479" spans="1:9" s="460" customFormat="1" ht="15.75" hidden="1" outlineLevel="1" thickBot="1" x14ac:dyDescent="0.3">
      <c r="A479" s="311" t="s">
        <v>793</v>
      </c>
      <c r="B479" s="297"/>
      <c r="C479" s="297"/>
      <c r="D479" s="1580">
        <v>-4</v>
      </c>
      <c r="E479" s="297">
        <v>-5</v>
      </c>
      <c r="F479" s="297">
        <v>-5</v>
      </c>
      <c r="G479" s="297"/>
      <c r="H479" s="1100">
        <v>-5</v>
      </c>
      <c r="I479" s="928">
        <v>-4</v>
      </c>
    </row>
    <row r="480" spans="1:9" s="460" customFormat="1" ht="15.75" hidden="1" outlineLevel="1" thickBot="1" x14ac:dyDescent="0.3">
      <c r="A480" s="315" t="s">
        <v>337</v>
      </c>
      <c r="B480" s="318" t="s">
        <v>655</v>
      </c>
      <c r="C480" s="318" t="s">
        <v>655</v>
      </c>
      <c r="D480" s="1581" t="str">
        <f t="shared" ref="D480" si="233">CONCATENATE(D483,D465,"+",D482)</f>
        <v>2d4+2</v>
      </c>
      <c r="E480" s="347" t="str">
        <f t="shared" ref="B480:F480" si="234">CONCATENATE(E483,E465,"+",E482)</f>
        <v>1d10+4</v>
      </c>
      <c r="F480" s="347" t="str">
        <f t="shared" si="234"/>
        <v>1d6+0</v>
      </c>
      <c r="G480" s="318" t="s">
        <v>655</v>
      </c>
      <c r="H480" s="1107" t="str">
        <f t="shared" ref="H480:I480" si="235">CONCATENATE(H483,H465,"+",H482)</f>
        <v>1d4+4</v>
      </c>
      <c r="I480" s="342" t="str">
        <f t="shared" si="235"/>
        <v>1d4+0</v>
      </c>
    </row>
    <row r="481" spans="1:12" s="460" customFormat="1" hidden="1" outlineLevel="1" x14ac:dyDescent="0.25">
      <c r="A481" s="314" t="s">
        <v>79</v>
      </c>
      <c r="B481" s="309" t="s">
        <v>655</v>
      </c>
      <c r="C481" s="309" t="s">
        <v>655</v>
      </c>
      <c r="D481" s="1569" t="s">
        <v>10</v>
      </c>
      <c r="E481" s="309" t="s">
        <v>10</v>
      </c>
      <c r="F481" s="1528" t="s">
        <v>1089</v>
      </c>
      <c r="G481" s="309" t="s">
        <v>655</v>
      </c>
      <c r="H481" s="1113" t="s">
        <v>234</v>
      </c>
      <c r="I481" s="1206" t="s">
        <v>10</v>
      </c>
    </row>
    <row r="482" spans="1:12" s="460" customFormat="1" hidden="1" outlineLevel="1" x14ac:dyDescent="0.25">
      <c r="A482" s="310" t="s">
        <v>341</v>
      </c>
      <c r="B482" s="291"/>
      <c r="C482" s="291"/>
      <c r="D482" s="1578">
        <f>IF(D481="STR",Stats!D$11)+IF(D481="DEX",Stats!D$12)+IF(D481="STR/DEX",MAX(Stats!D$11,Stats!D$12))+IF(D481="PRO",IF(Stats!D$11&gt;0,INT(Stats!D$11/2),Stats!D$11))</f>
        <v>2</v>
      </c>
      <c r="E482" s="291">
        <f>IF(E481="STR",Stats!E$11)+IF(E481="DEX",Stats!E$12)+IF(E481="STR/DEX",MAX(Stats!E$11,Stats!E$12))+IF(E481="PRO",IF(Stats!E$11&gt;0,INT(Stats!E$11/2),Stats!E$11))</f>
        <v>4</v>
      </c>
      <c r="F482" s="291">
        <f>IF(F481="STR",Stats!F$11)+IF(F481="DEX",Stats!F$12)+IF(F481="STR/DEX",MAX(Stats!F$11,Stats!F$12))+IF(F481="PRO",IF(Stats!F$11&gt;0,INT(Stats!F$11/2),Stats!F$11))</f>
        <v>0</v>
      </c>
      <c r="G482" s="291" t="s">
        <v>655</v>
      </c>
      <c r="H482" s="291">
        <f>IF(H481="STR",Stats!H$11)+IF(H481="DEX",Stats!H$12)+IF(H481="STR/DEX",MAX(Stats!H$11,Stats!H$12))+IF(H481="PRO",IF(Stats!H$11&gt;0,INT(Stats!H$11/2),Stats!H$11))</f>
        <v>4</v>
      </c>
      <c r="I482" s="295">
        <f>IF(I481="STR",Stats!I$11)+IF(I481="DEX",Stats!I$12)+IF(I481="STR/DEX",MAX(Stats!I$11,Stats!I$12))+IF(I481="PRO",IF(Stats!I$11&gt;0,INT(Stats!I$11/2),Stats!I$11))</f>
        <v>0</v>
      </c>
    </row>
    <row r="483" spans="1:12" s="460" customFormat="1" ht="15.75" hidden="1" outlineLevel="1" thickBot="1" x14ac:dyDescent="0.3">
      <c r="A483" s="311" t="s">
        <v>352</v>
      </c>
      <c r="B483" s="297" t="s">
        <v>655</v>
      </c>
      <c r="C483" s="297" t="s">
        <v>655</v>
      </c>
      <c r="D483" s="1582">
        <v>2</v>
      </c>
      <c r="E483" s="297">
        <v>1</v>
      </c>
      <c r="F483" s="297">
        <v>1</v>
      </c>
      <c r="G483" s="297" t="s">
        <v>655</v>
      </c>
      <c r="H483" s="1100">
        <v>1</v>
      </c>
      <c r="I483" s="298">
        <v>1</v>
      </c>
    </row>
    <row r="484" spans="1:12" s="460" customFormat="1" ht="15.75" collapsed="1" thickBot="1" x14ac:dyDescent="0.3">
      <c r="A484" s="315" t="s">
        <v>81</v>
      </c>
      <c r="B484" s="331" t="s">
        <v>655</v>
      </c>
      <c r="C484" s="332" t="s">
        <v>655</v>
      </c>
      <c r="D484" s="332" t="s">
        <v>655</v>
      </c>
      <c r="E484" s="335" t="s">
        <v>969</v>
      </c>
      <c r="F484" s="332" t="s">
        <v>655</v>
      </c>
      <c r="G484" s="332" t="s">
        <v>655</v>
      </c>
      <c r="H484" s="1259" t="s">
        <v>977</v>
      </c>
      <c r="I484" s="333" t="s">
        <v>920</v>
      </c>
      <c r="L484" s="1101" t="s">
        <v>735</v>
      </c>
    </row>
    <row r="485" spans="1:12" s="460" customFormat="1" hidden="1" outlineLevel="1" x14ac:dyDescent="0.25">
      <c r="A485" s="349" t="s">
        <v>330</v>
      </c>
      <c r="B485" s="328" t="s">
        <v>655</v>
      </c>
      <c r="C485" s="309" t="s">
        <v>655</v>
      </c>
      <c r="D485" s="309" t="s">
        <v>655</v>
      </c>
      <c r="E485" s="316" t="s">
        <v>354</v>
      </c>
      <c r="F485" s="309" t="s">
        <v>655</v>
      </c>
      <c r="G485" s="309" t="s">
        <v>655</v>
      </c>
      <c r="H485" s="1108" t="s">
        <v>354</v>
      </c>
      <c r="I485" s="329" t="s">
        <v>655</v>
      </c>
      <c r="L485" s="1108" t="s">
        <v>354</v>
      </c>
    </row>
    <row r="486" spans="1:12" s="460" customFormat="1" ht="15.75" hidden="1" outlineLevel="1" thickBot="1" x14ac:dyDescent="0.3">
      <c r="A486" s="310" t="s">
        <v>336</v>
      </c>
      <c r="B486" s="785" t="s">
        <v>374</v>
      </c>
      <c r="C486" s="786" t="s">
        <v>374</v>
      </c>
      <c r="D486" s="786" t="s">
        <v>374</v>
      </c>
      <c r="E486" s="1306" t="s">
        <v>359</v>
      </c>
      <c r="F486" s="1305" t="s">
        <v>374</v>
      </c>
      <c r="G486" s="1305" t="s">
        <v>374</v>
      </c>
      <c r="H486" s="1104" t="s">
        <v>345</v>
      </c>
      <c r="I486" s="1307" t="s">
        <v>374</v>
      </c>
      <c r="L486" s="822" t="s">
        <v>379</v>
      </c>
    </row>
    <row r="487" spans="1:12" s="460" customFormat="1" collapsed="1" x14ac:dyDescent="0.25">
      <c r="A487" s="310" t="s">
        <v>334</v>
      </c>
      <c r="B487" s="1566" t="s">
        <v>374</v>
      </c>
      <c r="C487" s="1567" t="s">
        <v>374</v>
      </c>
      <c r="D487" s="1567" t="s">
        <v>374</v>
      </c>
      <c r="E487" s="1309" t="s">
        <v>34</v>
      </c>
      <c r="F487" s="1308" t="s">
        <v>374</v>
      </c>
      <c r="G487" s="1308" t="s">
        <v>374</v>
      </c>
      <c r="H487" s="1310" t="s">
        <v>391</v>
      </c>
      <c r="I487" s="1311" t="s">
        <v>374</v>
      </c>
      <c r="L487" s="1110" t="s">
        <v>370</v>
      </c>
    </row>
    <row r="488" spans="1:12" s="460" customFormat="1" x14ac:dyDescent="0.25">
      <c r="A488" s="310" t="s">
        <v>334</v>
      </c>
      <c r="B488" s="785" t="s">
        <v>374</v>
      </c>
      <c r="C488" s="786" t="s">
        <v>374</v>
      </c>
      <c r="D488" s="786" t="s">
        <v>374</v>
      </c>
      <c r="E488" s="308" t="s">
        <v>380</v>
      </c>
      <c r="F488" s="786" t="s">
        <v>374</v>
      </c>
      <c r="G488" s="786" t="s">
        <v>374</v>
      </c>
      <c r="H488" s="786" t="s">
        <v>374</v>
      </c>
      <c r="I488" s="850" t="s">
        <v>374</v>
      </c>
      <c r="L488" s="1112" t="s">
        <v>738</v>
      </c>
    </row>
    <row r="489" spans="1:12" s="460" customFormat="1" hidden="1" outlineLevel="1" x14ac:dyDescent="0.25">
      <c r="A489" s="310" t="s">
        <v>334</v>
      </c>
      <c r="B489" s="785" t="s">
        <v>374</v>
      </c>
      <c r="C489" s="786" t="s">
        <v>374</v>
      </c>
      <c r="D489" s="786" t="s">
        <v>374</v>
      </c>
      <c r="E489" s="308" t="s">
        <v>967</v>
      </c>
      <c r="F489" s="786" t="s">
        <v>374</v>
      </c>
      <c r="G489" s="786" t="s">
        <v>374</v>
      </c>
      <c r="H489" s="786" t="s">
        <v>374</v>
      </c>
      <c r="I489" s="850" t="s">
        <v>374</v>
      </c>
      <c r="L489" s="1105" t="s">
        <v>374</v>
      </c>
    </row>
    <row r="490" spans="1:12" s="460" customFormat="1" hidden="1" outlineLevel="1" x14ac:dyDescent="0.25">
      <c r="A490" s="310" t="s">
        <v>334</v>
      </c>
      <c r="B490" s="785" t="s">
        <v>374</v>
      </c>
      <c r="C490" s="786" t="s">
        <v>374</v>
      </c>
      <c r="D490" s="786" t="s">
        <v>374</v>
      </c>
      <c r="E490" s="308" t="s">
        <v>968</v>
      </c>
      <c r="F490" s="786" t="s">
        <v>374</v>
      </c>
      <c r="G490" s="786" t="s">
        <v>374</v>
      </c>
      <c r="H490" s="786" t="s">
        <v>374</v>
      </c>
      <c r="I490" s="850" t="s">
        <v>374</v>
      </c>
      <c r="L490" s="1105" t="s">
        <v>374</v>
      </c>
    </row>
    <row r="491" spans="1:12" s="460" customFormat="1" hidden="1" outlineLevel="1" x14ac:dyDescent="0.25">
      <c r="A491" s="310" t="s">
        <v>334</v>
      </c>
      <c r="B491" s="785" t="s">
        <v>374</v>
      </c>
      <c r="C491" s="786" t="s">
        <v>374</v>
      </c>
      <c r="D491" s="786" t="s">
        <v>374</v>
      </c>
      <c r="E491" s="786" t="s">
        <v>374</v>
      </c>
      <c r="F491" s="786" t="s">
        <v>374</v>
      </c>
      <c r="G491" s="786" t="s">
        <v>374</v>
      </c>
      <c r="H491" s="786" t="s">
        <v>374</v>
      </c>
      <c r="I491" s="850" t="s">
        <v>374</v>
      </c>
      <c r="L491" s="1105" t="s">
        <v>374</v>
      </c>
    </row>
    <row r="492" spans="1:12" s="460" customFormat="1" hidden="1" outlineLevel="1" x14ac:dyDescent="0.25">
      <c r="A492" s="310" t="s">
        <v>337</v>
      </c>
      <c r="B492" s="787" t="s">
        <v>655</v>
      </c>
      <c r="C492" s="291" t="s">
        <v>655</v>
      </c>
      <c r="D492" s="291" t="s">
        <v>655</v>
      </c>
      <c r="E492" s="303" t="s">
        <v>381</v>
      </c>
      <c r="F492" s="291" t="s">
        <v>655</v>
      </c>
      <c r="G492" s="291" t="s">
        <v>655</v>
      </c>
      <c r="H492" s="822" t="s">
        <v>353</v>
      </c>
      <c r="I492" s="295" t="s">
        <v>655</v>
      </c>
      <c r="L492" s="822" t="s">
        <v>353</v>
      </c>
    </row>
    <row r="493" spans="1:12" s="460" customFormat="1" hidden="1" outlineLevel="1" x14ac:dyDescent="0.25">
      <c r="A493" s="310" t="s">
        <v>347</v>
      </c>
      <c r="B493" s="787" t="s">
        <v>374</v>
      </c>
      <c r="C493" s="786" t="s">
        <v>374</v>
      </c>
      <c r="D493" s="786" t="s">
        <v>374</v>
      </c>
      <c r="E493" s="303" t="s">
        <v>382</v>
      </c>
      <c r="F493" s="786" t="s">
        <v>374</v>
      </c>
      <c r="G493" s="786" t="s">
        <v>374</v>
      </c>
      <c r="H493" s="822" t="s">
        <v>357</v>
      </c>
      <c r="I493" s="850" t="s">
        <v>374</v>
      </c>
      <c r="L493" s="822" t="s">
        <v>357</v>
      </c>
    </row>
    <row r="494" spans="1:12" s="460" customFormat="1" hidden="1" outlineLevel="1" x14ac:dyDescent="0.25">
      <c r="A494" s="310" t="s">
        <v>338</v>
      </c>
      <c r="B494" s="787" t="s">
        <v>655</v>
      </c>
      <c r="C494" s="291" t="s">
        <v>655</v>
      </c>
      <c r="D494" s="291" t="s">
        <v>655</v>
      </c>
      <c r="E494" s="291">
        <v>1</v>
      </c>
      <c r="F494" s="291" t="s">
        <v>655</v>
      </c>
      <c r="G494" s="291" t="s">
        <v>655</v>
      </c>
      <c r="H494" s="1099">
        <v>1</v>
      </c>
      <c r="I494" s="295" t="s">
        <v>655</v>
      </c>
      <c r="L494" s="1099">
        <v>1</v>
      </c>
    </row>
    <row r="495" spans="1:12" s="460" customFormat="1" hidden="1" outlineLevel="1" x14ac:dyDescent="0.25">
      <c r="A495" s="310" t="s">
        <v>344</v>
      </c>
      <c r="B495" s="785" t="s">
        <v>374</v>
      </c>
      <c r="C495" s="786" t="s">
        <v>374</v>
      </c>
      <c r="D495" s="786" t="s">
        <v>374</v>
      </c>
      <c r="E495" s="786" t="s">
        <v>374</v>
      </c>
      <c r="F495" s="786" t="s">
        <v>374</v>
      </c>
      <c r="G495" s="786" t="s">
        <v>374</v>
      </c>
      <c r="H495" s="1105" t="s">
        <v>374</v>
      </c>
      <c r="I495" s="850" t="s">
        <v>374</v>
      </c>
      <c r="L495" s="1105" t="s">
        <v>374</v>
      </c>
    </row>
    <row r="496" spans="1:12" s="460" customFormat="1" hidden="1" outlineLevel="1" x14ac:dyDescent="0.25">
      <c r="A496" s="310" t="s">
        <v>349</v>
      </c>
      <c r="B496" s="785" t="s">
        <v>374</v>
      </c>
      <c r="C496" s="786" t="s">
        <v>374</v>
      </c>
      <c r="D496" s="786" t="s">
        <v>374</v>
      </c>
      <c r="E496" s="786" t="s">
        <v>374</v>
      </c>
      <c r="F496" s="786" t="s">
        <v>374</v>
      </c>
      <c r="G496" s="786" t="s">
        <v>374</v>
      </c>
      <c r="H496" s="1105" t="s">
        <v>374</v>
      </c>
      <c r="I496" s="850" t="s">
        <v>374</v>
      </c>
      <c r="L496" s="1105" t="s">
        <v>374</v>
      </c>
    </row>
    <row r="497" spans="1:12" s="460" customFormat="1" hidden="1" outlineLevel="1" x14ac:dyDescent="0.25">
      <c r="A497" s="310" t="s">
        <v>339</v>
      </c>
      <c r="B497" s="788"/>
      <c r="C497" s="291" t="s">
        <v>655</v>
      </c>
      <c r="D497" s="291" t="s">
        <v>655</v>
      </c>
      <c r="E497" s="291">
        <v>2</v>
      </c>
      <c r="F497" s="291" t="s">
        <v>655</v>
      </c>
      <c r="G497" s="291" t="s">
        <v>655</v>
      </c>
      <c r="H497" s="822">
        <v>1</v>
      </c>
      <c r="I497" s="295" t="s">
        <v>655</v>
      </c>
      <c r="L497" s="822" t="s">
        <v>350</v>
      </c>
    </row>
    <row r="498" spans="1:12" s="460" customFormat="1" ht="15.75" collapsed="1" thickBot="1" x14ac:dyDescent="0.3">
      <c r="A498" s="311" t="s">
        <v>335</v>
      </c>
      <c r="B498" s="905" t="s">
        <v>374</v>
      </c>
      <c r="C498" s="625" t="s">
        <v>374</v>
      </c>
      <c r="D498" s="625" t="s">
        <v>374</v>
      </c>
      <c r="E498" s="341" t="s">
        <v>383</v>
      </c>
      <c r="F498" s="625" t="s">
        <v>374</v>
      </c>
      <c r="G498" s="625" t="s">
        <v>374</v>
      </c>
      <c r="H498" s="1116" t="s">
        <v>358</v>
      </c>
      <c r="I498" s="1127" t="s">
        <v>374</v>
      </c>
      <c r="L498" s="1116" t="s">
        <v>737</v>
      </c>
    </row>
    <row r="499" spans="1:12" s="460" customFormat="1" ht="15.75" hidden="1" outlineLevel="1" thickBot="1" x14ac:dyDescent="0.3">
      <c r="A499" s="315" t="s">
        <v>343</v>
      </c>
      <c r="B499" s="320"/>
      <c r="C499" s="318"/>
      <c r="D499" s="318"/>
      <c r="E499" s="318" t="str">
        <f t="shared" ref="D499:E499" si="236">E505&amp;"/"&amp;(E505+E506)&amp;"/"&amp;(E505+2*E506)</f>
        <v>13/8/3</v>
      </c>
      <c r="F499" s="318"/>
      <c r="G499" s="318"/>
      <c r="H499" s="1107" t="str">
        <f t="shared" ref="H499" si="237">H505&amp;"/"&amp;(H505+H506)&amp;"/"&amp;(H505+2*H506)</f>
        <v>14/9/4</v>
      </c>
      <c r="I499" s="342"/>
      <c r="L499" s="1107" t="str">
        <f t="shared" ref="L499" si="238">L505&amp;"/"&amp;(L505+L506)&amp;"/"&amp;(L505+2*L506)</f>
        <v>0/-4/-8</v>
      </c>
    </row>
    <row r="500" spans="1:12" s="460" customFormat="1" hidden="1" outlineLevel="1" x14ac:dyDescent="0.25">
      <c r="A500" s="349" t="s">
        <v>79</v>
      </c>
      <c r="B500" s="328" t="s">
        <v>655</v>
      </c>
      <c r="C500" s="309" t="s">
        <v>655</v>
      </c>
      <c r="D500" s="309" t="s">
        <v>655</v>
      </c>
      <c r="E500" s="309" t="s">
        <v>10</v>
      </c>
      <c r="F500" s="309" t="s">
        <v>655</v>
      </c>
      <c r="G500" s="309" t="s">
        <v>655</v>
      </c>
      <c r="H500" s="1108" t="s">
        <v>10</v>
      </c>
      <c r="I500" s="329" t="s">
        <v>655</v>
      </c>
      <c r="L500" s="1108" t="s">
        <v>10</v>
      </c>
    </row>
    <row r="501" spans="1:12" s="460" customFormat="1" hidden="1" outlineLevel="1" x14ac:dyDescent="0.25">
      <c r="A501" s="310" t="s">
        <v>324</v>
      </c>
      <c r="B501" s="322" t="s">
        <v>655</v>
      </c>
      <c r="C501" s="303" t="s">
        <v>655</v>
      </c>
      <c r="D501" s="303" t="s">
        <v>655</v>
      </c>
      <c r="E501" s="303" t="str">
        <f>IF(E486="Simple",Skills!E$137,"")&amp;IF(E486="Martial",Skills!E$139,"")&amp;IF(E486="Advanced",Skills!E$141,"")&amp;IF(E486="Bomb",Skills!E$143,"")&amp;IF(E486="Unarmed",Skills!E$145,"")&amp;IF(E486="Specific 1",Skills!E$147,"")&amp;IF(E486="Specific 2",Skills!E$150,"")</f>
        <v>Expert</v>
      </c>
      <c r="F501" s="303" t="s">
        <v>655</v>
      </c>
      <c r="G501" s="303" t="s">
        <v>655</v>
      </c>
      <c r="H501" s="822" t="str">
        <f>IF(H486="Simple",Skills!H$137,"")&amp;IF(H486="Martial",Skills!H$139,"")&amp;IF(H486="Advanced",Skills!H$141,"")&amp;IF(H486="Bomb",Skills!H$143,"")&amp;IF(H486="Unarmed",Skills!H$145,"")&amp;IF(H486="Specific 1",Skills!H$147,"")&amp;IF(H486="Specific 2",Skills!H$150,"")</f>
        <v>Expert</v>
      </c>
      <c r="I501" s="307" t="s">
        <v>655</v>
      </c>
      <c r="L501" s="822" t="str">
        <f>IF(L486="Simple",Skills!L$137,"")&amp;IF(L486="Martial",Skills!L$139,"")&amp;IF(L486="Advanced",Skills!L$141,"")&amp;IF(L486="Bomb",Skills!L$143,"")&amp;IF(L486="Unarmed",Skills!L$145,"")&amp;IF(L486="Specific 1",Skills!L$147,"")&amp;IF(L486="Specific 2",Skills!L$150,"")</f>
        <v/>
      </c>
    </row>
    <row r="502" spans="1:12" s="460" customFormat="1" hidden="1" outlineLevel="1" x14ac:dyDescent="0.25">
      <c r="A502" s="310" t="s">
        <v>341</v>
      </c>
      <c r="B502" s="324" t="s">
        <v>655</v>
      </c>
      <c r="C502" s="291" t="s">
        <v>655</v>
      </c>
      <c r="D502" s="291" t="s">
        <v>655</v>
      </c>
      <c r="E502" s="291">
        <f>IF(E500="STR",Stats!E$11)+IF(E500="DEX",Stats!E$12)+IF(E500="STR/DEX",MAX(Stats!E$11,Stats!E$12))</f>
        <v>4</v>
      </c>
      <c r="F502" s="291" t="s">
        <v>655</v>
      </c>
      <c r="G502" s="291" t="s">
        <v>655</v>
      </c>
      <c r="H502" s="1099">
        <f>IF(H500="STR",Stats!H$11)+IF(H500="DEX",Stats!H$12)+IF(H500="STR/DEX",MAX(Stats!H$11,Stats!H$12))</f>
        <v>4</v>
      </c>
      <c r="I502" s="295" t="s">
        <v>655</v>
      </c>
      <c r="L502" s="1099">
        <f>IF(L500="STR",Stats!L$11)+IF(L500="DEX",Stats!L$12)+IF(L500="STR/DEX",MAX(Stats!L$11,Stats!L$12))</f>
        <v>0</v>
      </c>
    </row>
    <row r="503" spans="1:12" s="460" customFormat="1" hidden="1" outlineLevel="1" x14ac:dyDescent="0.25">
      <c r="A503" s="310" t="s">
        <v>91</v>
      </c>
      <c r="B503" s="324" t="s">
        <v>655</v>
      </c>
      <c r="C503" s="291" t="s">
        <v>655</v>
      </c>
      <c r="D503" s="291" t="s">
        <v>655</v>
      </c>
      <c r="E503" s="291">
        <f>IF(E486="Simple",Skills!E$195,0)+IF(E486="Martial",Skills!E$196,0)+IF(E486="Advanced",Skills!E$197,0)+IF(E486="Bomb",Skills!E$198,0)+IF(E486="Unarmed",Skills!E$199,0)+IF(E486="Specific 1",Skills!E$200,0)+IF(E486="Specific 2",Skills!E$201,0)</f>
        <v>9</v>
      </c>
      <c r="F503" s="291" t="s">
        <v>655</v>
      </c>
      <c r="G503" s="291" t="s">
        <v>655</v>
      </c>
      <c r="H503" s="1099">
        <f>IF(H486="Simple",Skills!H$195,0)+IF(H486="Martial",Skills!H$196,0)+IF(H486="Advanced",Skills!H$197,0)+IF(H486="Bomb",Skills!H$198,0)+IF(H486="Unarmed",Skills!H$199,0)+IF(H486="Specific 1",Skills!H$200,0)+IF(H486="Specific 2",Skills!H$201,0)</f>
        <v>9</v>
      </c>
      <c r="I503" s="295" t="s">
        <v>655</v>
      </c>
      <c r="L503" s="1099">
        <f>IF(L486="Simple",Skills!L$195,0)+IF(L486="Martial",Skills!L$196,0)+IF(L486="Advanced",Skills!L$197,0)+IF(L486="Bomb",Skills!L$198,0)+IF(L486="Unarmed",Skills!L$199,0)+IF(L486="Specific 1",Skills!L$200,0)+IF(L486="Specific 2",Skills!L$201,0)</f>
        <v>0</v>
      </c>
    </row>
    <row r="504" spans="1:12" s="460" customFormat="1" hidden="1" outlineLevel="1" x14ac:dyDescent="0.25">
      <c r="A504" s="310" t="s">
        <v>342</v>
      </c>
      <c r="B504" s="324" t="s">
        <v>655</v>
      </c>
      <c r="C504" s="291" t="s">
        <v>655</v>
      </c>
      <c r="D504" s="291" t="s">
        <v>655</v>
      </c>
      <c r="E504" s="291"/>
      <c r="F504" s="291" t="s">
        <v>655</v>
      </c>
      <c r="G504" s="291" t="s">
        <v>655</v>
      </c>
      <c r="H504" s="1248">
        <v>1</v>
      </c>
      <c r="I504" s="295" t="s">
        <v>655</v>
      </c>
      <c r="L504" s="1099"/>
    </row>
    <row r="505" spans="1:12" s="460" customFormat="1" hidden="1" outlineLevel="1" x14ac:dyDescent="0.25">
      <c r="A505" s="310" t="s">
        <v>792</v>
      </c>
      <c r="B505" s="324">
        <f>SUM(B502:B504)</f>
        <v>0</v>
      </c>
      <c r="C505" s="291">
        <f t="shared" ref="C505:I505" si="239">SUM(C502:C504)</f>
        <v>0</v>
      </c>
      <c r="D505" s="291">
        <f t="shared" ref="D505" si="240">SUM(D502:D504)</f>
        <v>0</v>
      </c>
      <c r="E505" s="291">
        <f t="shared" si="239"/>
        <v>13</v>
      </c>
      <c r="F505" s="291">
        <f t="shared" si="239"/>
        <v>0</v>
      </c>
      <c r="G505" s="291">
        <f t="shared" si="239"/>
        <v>0</v>
      </c>
      <c r="H505" s="1099">
        <f t="shared" si="239"/>
        <v>14</v>
      </c>
      <c r="I505" s="295">
        <f t="shared" si="239"/>
        <v>0</v>
      </c>
      <c r="L505" s="1099">
        <f t="shared" ref="L505" si="241">SUM(L502:L504)</f>
        <v>0</v>
      </c>
    </row>
    <row r="506" spans="1:12" s="460" customFormat="1" ht="15.75" hidden="1" outlineLevel="1" thickBot="1" x14ac:dyDescent="0.3">
      <c r="A506" s="311" t="s">
        <v>793</v>
      </c>
      <c r="B506" s="327"/>
      <c r="C506" s="297"/>
      <c r="D506" s="297"/>
      <c r="E506" s="297">
        <v>-5</v>
      </c>
      <c r="F506" s="297"/>
      <c r="G506" s="297"/>
      <c r="H506" s="297">
        <v>-5</v>
      </c>
      <c r="I506" s="298"/>
      <c r="L506" s="1114">
        <v>-4</v>
      </c>
    </row>
    <row r="507" spans="1:12" s="460" customFormat="1" ht="15.75" hidden="1" outlineLevel="1" thickBot="1" x14ac:dyDescent="0.3">
      <c r="A507" s="315" t="s">
        <v>337</v>
      </c>
      <c r="B507" s="320" t="s">
        <v>655</v>
      </c>
      <c r="C507" s="318" t="s">
        <v>655</v>
      </c>
      <c r="D507" s="318" t="s">
        <v>655</v>
      </c>
      <c r="E507" s="347" t="str">
        <f t="shared" ref="D507:E507" si="242">CONCATENATE(E510,E492,"+",E509)</f>
        <v>1d12+4</v>
      </c>
      <c r="F507" s="318" t="s">
        <v>655</v>
      </c>
      <c r="G507" s="318" t="s">
        <v>655</v>
      </c>
      <c r="H507" s="1107" t="str">
        <f t="shared" ref="H507" si="243">CONCATENATE(H510,H492,"+",H509)</f>
        <v>1d6+4</v>
      </c>
      <c r="I507" s="342" t="s">
        <v>655</v>
      </c>
      <c r="L507" s="1107" t="str">
        <f t="shared" ref="L507" si="244">CONCATENATE(L510,L492,"+",L509)</f>
        <v>1d6+0</v>
      </c>
    </row>
    <row r="508" spans="1:12" s="460" customFormat="1" hidden="1" outlineLevel="1" x14ac:dyDescent="0.25">
      <c r="A508" s="314" t="s">
        <v>79</v>
      </c>
      <c r="B508" s="321" t="s">
        <v>655</v>
      </c>
      <c r="C508" s="316" t="s">
        <v>655</v>
      </c>
      <c r="D508" s="316" t="s">
        <v>655</v>
      </c>
      <c r="E508" s="316" t="s">
        <v>10</v>
      </c>
      <c r="F508" s="316" t="s">
        <v>655</v>
      </c>
      <c r="G508" s="316" t="s">
        <v>655</v>
      </c>
      <c r="H508" s="1102" t="s">
        <v>10</v>
      </c>
      <c r="I508" s="317" t="s">
        <v>655</v>
      </c>
      <c r="L508" s="1102" t="s">
        <v>10</v>
      </c>
    </row>
    <row r="509" spans="1:12" s="460" customFormat="1" hidden="1" outlineLevel="1" x14ac:dyDescent="0.25">
      <c r="A509" s="310" t="s">
        <v>341</v>
      </c>
      <c r="B509" s="324" t="s">
        <v>655</v>
      </c>
      <c r="C509" s="291" t="s">
        <v>655</v>
      </c>
      <c r="D509" s="291" t="s">
        <v>655</v>
      </c>
      <c r="E509" s="291">
        <f>IF(E508="STR",Stats!E$11)+IF(E508="DEX",Stats!E$12)+IF(E508="STR/DEX",MAX(Stats!E$11,Stats!E$12))+IF(E508="PRO",IF(Stats!E$11&gt;0,INT(Stats!E$11/2),Stats!E$11))</f>
        <v>4</v>
      </c>
      <c r="F509" s="291" t="s">
        <v>655</v>
      </c>
      <c r="G509" s="291" t="s">
        <v>655</v>
      </c>
      <c r="H509" s="291">
        <f>IF(H508="STR",Stats!H$11)+IF(H508="DEX",Stats!H$12)+IF(H508="STR/DEX",MAX(Stats!H$11,Stats!H$12))+IF(H508="PRO",IF(Stats!H$11&gt;0,INT(Stats!H$11/2),Stats!H$11))</f>
        <v>4</v>
      </c>
      <c r="I509" s="295" t="s">
        <v>655</v>
      </c>
      <c r="L509" s="1099">
        <f>IF(L508="STR",Stats!L$11)+IF(L508="DEX",Stats!L$12)+IF(L508="STR/DEX",MAX(Stats!L$11,Stats!L$12))</f>
        <v>0</v>
      </c>
    </row>
    <row r="510" spans="1:12" s="460" customFormat="1" ht="15.75" hidden="1" outlineLevel="1" thickBot="1" x14ac:dyDescent="0.3">
      <c r="A510" s="311" t="s">
        <v>352</v>
      </c>
      <c r="B510" s="327" t="s">
        <v>655</v>
      </c>
      <c r="C510" s="297" t="s">
        <v>655</v>
      </c>
      <c r="D510" s="297" t="s">
        <v>655</v>
      </c>
      <c r="E510" s="297">
        <v>1</v>
      </c>
      <c r="F510" s="297" t="s">
        <v>655</v>
      </c>
      <c r="G510" s="297" t="s">
        <v>655</v>
      </c>
      <c r="H510" s="1100">
        <v>1</v>
      </c>
      <c r="I510" s="298" t="s">
        <v>655</v>
      </c>
      <c r="L510" s="1100">
        <v>1</v>
      </c>
    </row>
    <row r="511" spans="1:12" ht="15.75" collapsed="1" thickBot="1" x14ac:dyDescent="0.3">
      <c r="H511" s="130"/>
      <c r="I511" s="812"/>
    </row>
    <row r="512" spans="1:12" ht="15.75" thickBot="1" x14ac:dyDescent="0.3">
      <c r="A512" s="931" t="s">
        <v>794</v>
      </c>
      <c r="B512" s="286" t="s">
        <v>814</v>
      </c>
      <c r="C512" s="275" t="s">
        <v>802</v>
      </c>
      <c r="D512" s="408" t="s">
        <v>1034</v>
      </c>
      <c r="E512" s="282" t="s">
        <v>803</v>
      </c>
      <c r="F512" s="275"/>
      <c r="G512" s="275" t="s">
        <v>990</v>
      </c>
      <c r="H512" s="275" t="s">
        <v>412</v>
      </c>
      <c r="I512" s="276" t="s">
        <v>844</v>
      </c>
    </row>
    <row r="513" spans="1:9" hidden="1" outlineLevel="1" x14ac:dyDescent="0.25">
      <c r="A513" s="299"/>
      <c r="B513" s="932" t="s">
        <v>795</v>
      </c>
      <c r="C513" s="933" t="s">
        <v>815</v>
      </c>
      <c r="D513" s="933" t="s">
        <v>993</v>
      </c>
      <c r="E513" s="939" t="s">
        <v>1032</v>
      </c>
      <c r="F513" s="933"/>
      <c r="G513" s="933" t="s">
        <v>996</v>
      </c>
      <c r="H513" s="933" t="s">
        <v>807</v>
      </c>
      <c r="I513" s="940" t="s">
        <v>862</v>
      </c>
    </row>
    <row r="514" spans="1:9" hidden="1" outlineLevel="1" x14ac:dyDescent="0.25">
      <c r="A514" s="299"/>
      <c r="B514" s="947" t="s">
        <v>812</v>
      </c>
      <c r="C514" s="933" t="s">
        <v>816</v>
      </c>
      <c r="D514" s="939" t="s">
        <v>988</v>
      </c>
      <c r="E514" s="946" t="s">
        <v>811</v>
      </c>
      <c r="F514" s="933"/>
      <c r="G514" s="939" t="s">
        <v>988</v>
      </c>
      <c r="H514" s="933" t="s">
        <v>808</v>
      </c>
      <c r="I514" s="940" t="s">
        <v>852</v>
      </c>
    </row>
    <row r="515" spans="1:9" ht="15.75" hidden="1" outlineLevel="1" thickBot="1" x14ac:dyDescent="0.3">
      <c r="A515" s="299"/>
      <c r="B515" s="285" t="s">
        <v>813</v>
      </c>
      <c r="C515" s="942" t="s">
        <v>1027</v>
      </c>
      <c r="D515" s="943" t="s">
        <v>1037</v>
      </c>
      <c r="E515" s="943"/>
      <c r="F515" s="942"/>
      <c r="G515" s="942" t="s">
        <v>995</v>
      </c>
      <c r="H515" s="942" t="s">
        <v>809</v>
      </c>
      <c r="I515" s="944"/>
    </row>
    <row r="516" spans="1:9" ht="15.75" collapsed="1" thickBot="1" x14ac:dyDescent="0.3">
      <c r="A516" s="299"/>
      <c r="B516" s="286"/>
      <c r="C516" s="275" t="s">
        <v>1010</v>
      </c>
      <c r="D516" s="275"/>
      <c r="E516" s="282" t="s">
        <v>986</v>
      </c>
      <c r="F516" s="275"/>
      <c r="G516" s="275"/>
      <c r="H516" s="1066" t="s">
        <v>123</v>
      </c>
      <c r="I516" s="276" t="s">
        <v>121</v>
      </c>
    </row>
    <row r="517" spans="1:9" hidden="1" outlineLevel="1" x14ac:dyDescent="0.25">
      <c r="A517" s="299"/>
      <c r="B517" s="932"/>
      <c r="C517" s="933" t="s">
        <v>1013</v>
      </c>
      <c r="D517" s="933"/>
      <c r="E517" s="939" t="s">
        <v>1022</v>
      </c>
      <c r="F517" s="933"/>
      <c r="G517" s="933"/>
      <c r="H517" s="1119" t="s">
        <v>805</v>
      </c>
      <c r="I517" s="940" t="s">
        <v>861</v>
      </c>
    </row>
    <row r="518" spans="1:9" hidden="1" outlineLevel="1" x14ac:dyDescent="0.25">
      <c r="A518" s="299"/>
      <c r="B518" s="932"/>
      <c r="C518" s="933" t="s">
        <v>1011</v>
      </c>
      <c r="D518" s="933"/>
      <c r="E518" s="939" t="s">
        <v>988</v>
      </c>
      <c r="F518" s="933"/>
      <c r="G518" s="933"/>
      <c r="H518" s="1121" t="s">
        <v>806</v>
      </c>
      <c r="I518" s="945" t="s">
        <v>863</v>
      </c>
    </row>
    <row r="519" spans="1:9" ht="15.75" hidden="1" outlineLevel="1" thickBot="1" x14ac:dyDescent="0.3">
      <c r="A519" s="299"/>
      <c r="B519" s="941"/>
      <c r="C519" s="942" t="s">
        <v>1012</v>
      </c>
      <c r="D519" s="942"/>
      <c r="E519" s="943" t="s">
        <v>1023</v>
      </c>
      <c r="F519" s="942"/>
      <c r="G519" s="942"/>
      <c r="H519" s="1120" t="s">
        <v>810</v>
      </c>
      <c r="I519" s="944" t="s">
        <v>860</v>
      </c>
    </row>
    <row r="520" spans="1:9" ht="15.75" collapsed="1" thickBot="1" x14ac:dyDescent="0.3">
      <c r="A520" s="299"/>
      <c r="B520" s="286"/>
      <c r="C520" s="275"/>
      <c r="D520" s="275"/>
      <c r="E520" s="408" t="s">
        <v>1019</v>
      </c>
      <c r="F520" s="275"/>
      <c r="G520" s="275"/>
      <c r="H520" s="275" t="s">
        <v>804</v>
      </c>
      <c r="I520" s="276" t="s">
        <v>990</v>
      </c>
    </row>
    <row r="521" spans="1:9" s="460" customFormat="1" hidden="1" outlineLevel="1" x14ac:dyDescent="0.25">
      <c r="A521" s="299"/>
      <c r="B521" s="932"/>
      <c r="C521" s="933"/>
      <c r="D521" s="933"/>
      <c r="E521" s="933" t="s">
        <v>993</v>
      </c>
      <c r="F521" s="933"/>
      <c r="G521" s="933"/>
      <c r="H521" s="933" t="s">
        <v>1021</v>
      </c>
      <c r="I521" s="940" t="s">
        <v>996</v>
      </c>
    </row>
    <row r="522" spans="1:9" s="460" customFormat="1" hidden="1" outlineLevel="1" x14ac:dyDescent="0.25">
      <c r="A522" s="299"/>
      <c r="B522" s="932"/>
      <c r="C522" s="933"/>
      <c r="D522" s="933"/>
      <c r="E522" s="939" t="s">
        <v>988</v>
      </c>
      <c r="F522" s="933"/>
      <c r="G522" s="933"/>
      <c r="H522" s="933" t="s">
        <v>994</v>
      </c>
      <c r="I522" s="1268" t="s">
        <v>988</v>
      </c>
    </row>
    <row r="523" spans="1:9" s="460" customFormat="1" ht="15.75" hidden="1" outlineLevel="1" thickBot="1" x14ac:dyDescent="0.3">
      <c r="A523" s="299"/>
      <c r="B523" s="941"/>
      <c r="C523" s="942"/>
      <c r="D523" s="942"/>
      <c r="E523" s="943" t="s">
        <v>1036</v>
      </c>
      <c r="F523" s="942"/>
      <c r="G523" s="942"/>
      <c r="H523" s="942" t="s">
        <v>1038</v>
      </c>
      <c r="I523" s="944" t="s">
        <v>995</v>
      </c>
    </row>
    <row r="524" spans="1:9" s="460" customFormat="1" collapsed="1" x14ac:dyDescent="0.25">
      <c r="A524" s="299"/>
      <c r="B524" s="286"/>
      <c r="C524" s="275"/>
      <c r="D524" s="275"/>
      <c r="E524" s="280"/>
      <c r="F524" s="275"/>
      <c r="G524" s="275"/>
      <c r="H524" s="1074" t="s">
        <v>991</v>
      </c>
      <c r="I524" s="910"/>
    </row>
    <row r="525" spans="1:9" s="460" customFormat="1" hidden="1" outlineLevel="1" x14ac:dyDescent="0.25">
      <c r="A525" s="299"/>
      <c r="B525" s="932"/>
      <c r="C525" s="933"/>
      <c r="D525" s="933"/>
      <c r="E525" s="939"/>
      <c r="F525" s="933"/>
      <c r="G525" s="933"/>
      <c r="H525" s="1119" t="s">
        <v>993</v>
      </c>
      <c r="I525" s="940"/>
    </row>
    <row r="526" spans="1:9" s="460" customFormat="1" hidden="1" outlineLevel="1" x14ac:dyDescent="0.25">
      <c r="A526" s="299"/>
      <c r="B526" s="932"/>
      <c r="C526" s="933"/>
      <c r="D526" s="933"/>
      <c r="E526" s="939"/>
      <c r="F526" s="933"/>
      <c r="G526" s="933"/>
      <c r="H526" s="939" t="s">
        <v>988</v>
      </c>
      <c r="I526" s="940"/>
    </row>
    <row r="527" spans="1:9" s="460" customFormat="1" ht="15.75" hidden="1" outlineLevel="1" thickBot="1" x14ac:dyDescent="0.3">
      <c r="A527" s="299"/>
      <c r="B527" s="941"/>
      <c r="C527" s="942"/>
      <c r="D527" s="942"/>
      <c r="E527" s="943"/>
      <c r="F527" s="942"/>
      <c r="G527" s="942"/>
      <c r="H527" s="1120" t="s">
        <v>992</v>
      </c>
      <c r="I527" s="944"/>
    </row>
    <row r="528" spans="1:9" hidden="1" outlineLevel="1" x14ac:dyDescent="0.25">
      <c r="A528" s="299"/>
      <c r="B528" s="286"/>
      <c r="C528" s="908"/>
      <c r="D528" s="908"/>
      <c r="E528" s="909"/>
      <c r="F528" s="908"/>
      <c r="G528" s="908"/>
      <c r="H528" s="1074"/>
      <c r="I528" s="910"/>
    </row>
    <row r="529" spans="1:9" hidden="1" outlineLevel="1" x14ac:dyDescent="0.25">
      <c r="A529" s="299"/>
      <c r="B529" s="932"/>
      <c r="C529" s="933"/>
      <c r="D529" s="933"/>
      <c r="E529" s="939"/>
      <c r="F529" s="933"/>
      <c r="G529" s="933"/>
      <c r="H529" s="1119"/>
      <c r="I529" s="940"/>
    </row>
    <row r="530" spans="1:9" hidden="1" outlineLevel="1" x14ac:dyDescent="0.25">
      <c r="A530" s="299"/>
      <c r="B530" s="932"/>
      <c r="C530" s="933"/>
      <c r="D530" s="933"/>
      <c r="E530" s="939"/>
      <c r="F530" s="933"/>
      <c r="G530" s="933"/>
      <c r="H530" s="1119"/>
      <c r="I530" s="940"/>
    </row>
    <row r="531" spans="1:9" ht="15.75" hidden="1" outlineLevel="1" thickBot="1" x14ac:dyDescent="0.3">
      <c r="A531" s="499"/>
      <c r="B531" s="941"/>
      <c r="C531" s="942"/>
      <c r="D531" s="942"/>
      <c r="E531" s="943"/>
      <c r="F531" s="942"/>
      <c r="G531" s="942"/>
      <c r="H531" s="1120"/>
      <c r="I531" s="944"/>
    </row>
    <row r="532" spans="1:9" ht="15.75" collapsed="1" thickBot="1" x14ac:dyDescent="0.3">
      <c r="H532" s="130"/>
      <c r="I532" s="812"/>
    </row>
    <row r="533" spans="1:9" ht="270.75" thickBot="1" x14ac:dyDescent="0.3">
      <c r="A533" s="1006" t="s">
        <v>1090</v>
      </c>
      <c r="B533" s="1007" t="s">
        <v>831</v>
      </c>
      <c r="C533" s="1008" t="s">
        <v>655</v>
      </c>
      <c r="D533" s="1008" t="s">
        <v>655</v>
      </c>
      <c r="E533" s="1008" t="s">
        <v>832</v>
      </c>
      <c r="F533" s="1008" t="s">
        <v>833</v>
      </c>
      <c r="G533" s="1008" t="s">
        <v>655</v>
      </c>
      <c r="H533" s="1122" t="s">
        <v>1091</v>
      </c>
      <c r="I533" s="1009" t="s">
        <v>655</v>
      </c>
    </row>
  </sheetData>
  <hyperlinks>
    <hyperlink ref="C1" r:id="rId1" location="id=2533454" display="Zabraarallongex" xr:uid="{796A5E84-03B8-4FA3-9470-8F5FC95A3B77}"/>
    <hyperlink ref="B1" r:id="rId2" location="id=2533415" xr:uid="{91BF2275-0F49-4D3F-BCDC-9E2320D37FC6}"/>
    <hyperlink ref="H1" r:id="rId3" location="id=2535463" xr:uid="{BBA1327A-72B6-446E-B680-6A2288625154}"/>
    <hyperlink ref="G1" r:id="rId4" location="id=2538135" xr:uid="{18C0EE9D-E808-4379-A647-807ECD992F29}"/>
    <hyperlink ref="F1" r:id="rId5" location="id=2534175" xr:uid="{4E3711C7-5FAB-4717-ACAA-92CB9EAD6754}"/>
    <hyperlink ref="E1" r:id="rId6" location="id=2027709" xr:uid="{51229CEA-39D4-4996-8834-AABCE20B391A}"/>
    <hyperlink ref="G2" r:id="rId7" display="xx" xr:uid="{C17F35D3-E803-43D7-92BF-028D0D9EF4C5}"/>
    <hyperlink ref="E2" r:id="rId8" display="xx" xr:uid="{8125C442-A7EA-424B-8190-CD98D6A5F5E4}"/>
    <hyperlink ref="F2" r:id="rId9" display="xx" xr:uid="{98E03374-B436-45C3-B54F-AEB2E3B78104}"/>
    <hyperlink ref="H2" r:id="rId10" xr:uid="{EC3D72C3-FE04-4CBA-8B5F-5B7FB66825EE}"/>
    <hyperlink ref="B2" r:id="rId11" xr:uid="{A33E3D7D-1173-41EB-A593-66326D5598F1}"/>
    <hyperlink ref="C2" r:id="rId12" xr:uid="{AAD8D0B6-6BE5-4316-B58E-EF41C7C35E22}"/>
    <hyperlink ref="B7" r:id="rId13" xr:uid="{36FABE2A-C0AE-4EB8-9774-B035D78EBA50}"/>
    <hyperlink ref="B8" r:id="rId14" xr:uid="{A179DD71-3B4D-4DF4-BD9F-7751200F2809}"/>
    <hyperlink ref="B9" r:id="rId15" display="Chalk * 10" xr:uid="{D477C013-E061-406C-8123-DE71F7C3EF07}"/>
    <hyperlink ref="B10" r:id="rId16" xr:uid="{1F5347D6-0803-44AD-BF59-B72D46C677E0}"/>
    <hyperlink ref="B12" r:id="rId17" xr:uid="{8279E0EF-982C-4796-857E-68A4779CCD43}"/>
    <hyperlink ref="B11" r:id="rId18" display="Rations (1 week)" xr:uid="{79F5C8B2-AE9C-46DA-9C8B-B698B818437C}"/>
    <hyperlink ref="B13" r:id="rId19" xr:uid="{C21E1FC4-AA2D-4924-86BF-EE1BC296AE5B}"/>
    <hyperlink ref="B14" r:id="rId20" xr:uid="{F220494D-F027-4C5D-B7B3-82C790023BCD}"/>
    <hyperlink ref="B15" r:id="rId21" xr:uid="{0284B616-4E49-4621-AEEE-04D79FF958D8}"/>
    <hyperlink ref="C7" r:id="rId22" xr:uid="{948BC784-7569-4B5B-AA5D-C223314AF246}"/>
    <hyperlink ref="E7" r:id="rId23" xr:uid="{7C889F69-01B8-40F9-A44E-1DAC018CC264}"/>
    <hyperlink ref="F7" r:id="rId24" xr:uid="{E70B4449-95CD-4B04-BB74-E0D1FB2410E6}"/>
    <hyperlink ref="G7" r:id="rId25" xr:uid="{FF184C19-C47F-4217-8414-03F3F57277EA}"/>
    <hyperlink ref="H7" r:id="rId26" xr:uid="{738C64CC-65EB-4AE0-881C-87CC5D4D6C2E}"/>
    <hyperlink ref="C8" r:id="rId27" xr:uid="{69A1EF65-80E4-491C-B0F8-921EFE16B06E}"/>
    <hyperlink ref="E8" r:id="rId28" xr:uid="{FBAB7C7C-C0CF-46A5-8FD7-A7D782E5FFD5}"/>
    <hyperlink ref="F8" r:id="rId29" xr:uid="{79D62F7F-A8DB-4382-9239-E84482AB40FD}"/>
    <hyperlink ref="G8" r:id="rId30" xr:uid="{42A0A1E5-4686-48AE-B967-876CD9AFB604}"/>
    <hyperlink ref="H8" r:id="rId31" xr:uid="{A64972E2-6519-4168-8540-69B64BBE32AD}"/>
    <hyperlink ref="C9" r:id="rId32" display="Chalk * 10" xr:uid="{84F953E8-A23A-46FD-B94F-406238B4D1C7}"/>
    <hyperlink ref="H9" r:id="rId33" display="Chalk * 10" xr:uid="{51F5A0BF-8162-48DF-8E4C-C5880A25F7AD}"/>
    <hyperlink ref="C10" r:id="rId34" xr:uid="{4158C86E-27FC-403C-8E36-1502A72C5125}"/>
    <hyperlink ref="E10" r:id="rId35" xr:uid="{BF4A8A58-2E7A-48D2-B19D-9A8FE74B4DB1}"/>
    <hyperlink ref="F10" r:id="rId36" xr:uid="{66ADDED7-B794-4DAA-B8C7-FEFF5985C0BA}"/>
    <hyperlink ref="G10" r:id="rId37" xr:uid="{462BB23D-8086-47FF-9B68-C423B729CF8E}"/>
    <hyperlink ref="H10" r:id="rId38" xr:uid="{F9D56710-CDD6-44E5-9145-3B6841A33E5E}"/>
    <hyperlink ref="C12" r:id="rId39" xr:uid="{E5A1F5CF-935F-4FA9-B47A-54CA4D4BD638}"/>
    <hyperlink ref="E12" r:id="rId40" xr:uid="{DD834FC1-BD9C-400F-B928-D316AFB020C7}"/>
    <hyperlink ref="F12" r:id="rId41" xr:uid="{A2BBD257-FB9B-46C9-95C9-B11DDFFE6C8E}"/>
    <hyperlink ref="G12" r:id="rId42" xr:uid="{02EED9C9-29D6-47CA-A5DB-99FA4F910241}"/>
    <hyperlink ref="H12" r:id="rId43" xr:uid="{E0C12943-8130-4A56-B282-6FF44D92CBA7}"/>
    <hyperlink ref="C11" r:id="rId44" display="Rations (1 week)" xr:uid="{F3B1123F-AD82-4AD1-962A-51B80D2A5CD6}"/>
    <hyperlink ref="H11" r:id="rId45" display="Rations (1 week)" xr:uid="{11216AC1-81A0-4BEF-899C-91041B4B16F4}"/>
    <hyperlink ref="C13" r:id="rId46" xr:uid="{6184B161-2BF4-4FD3-90B9-EC0A171924B5}"/>
    <hyperlink ref="E13" r:id="rId47" xr:uid="{02830D26-7AEE-4A89-A1FF-6C64E4F8F413}"/>
    <hyperlink ref="F13" r:id="rId48" xr:uid="{20562764-92BB-4116-AC3B-E2EDF8B12C89}"/>
    <hyperlink ref="G13" r:id="rId49" xr:uid="{3F63A270-E03E-4C6F-BFB9-63A2B0F7A254}"/>
    <hyperlink ref="H13" r:id="rId50" xr:uid="{55F9615C-31A7-447D-ACE9-E9912596526C}"/>
    <hyperlink ref="C14" r:id="rId51" xr:uid="{489D8E9D-C6B0-4C77-B68E-D7FDF16CE6BB}"/>
    <hyperlink ref="H14" r:id="rId52" xr:uid="{B12B2965-0D30-447D-A3B4-76FF261E426F}"/>
    <hyperlink ref="C15" r:id="rId53" xr:uid="{787407D7-F042-481F-B914-D00D27FE2523}"/>
    <hyperlink ref="E15" r:id="rId54" xr:uid="{D001DA9B-566B-4E79-965D-791C9AB7D235}"/>
    <hyperlink ref="F15" r:id="rId55" xr:uid="{FDAF9E9E-1E0F-4053-BBA8-DB14EAFF58D1}"/>
    <hyperlink ref="G15" r:id="rId56" xr:uid="{E60CA3C9-F44D-4FBD-AD3B-B8EBDE060CB6}"/>
    <hyperlink ref="H15" r:id="rId57" xr:uid="{664256A8-B7BF-46E9-AA14-5F67AB18C0D1}"/>
    <hyperlink ref="E16" r:id="rId58" display="Javelin * 4" xr:uid="{4517AC76-E403-4342-9E7D-16C91F04A958}"/>
    <hyperlink ref="E17" r:id="rId59" display="Clan Dagger" xr:uid="{F43C768C-8DE1-4A8D-9997-E5BB5C5A48E4}"/>
    <hyperlink ref="H18" r:id="rId60" display="Longsword" xr:uid="{5AD261D5-1996-4C44-B4AA-B7CA0FF46F93}"/>
    <hyperlink ref="H16" r:id="rId61" xr:uid="{44C755E2-7614-449A-8FC4-3157B8747A06}"/>
    <hyperlink ref="E18" r:id="rId62" xr:uid="{D3F8CE26-CD85-4267-B431-AD4C1D7D10D0}"/>
    <hyperlink ref="F16" r:id="rId63" display="Dagger" xr:uid="{C6066170-0C73-457D-9187-50E8574D8856}"/>
    <hyperlink ref="G16" r:id="rId64" display="Dagger" xr:uid="{6927E068-4424-4864-99D1-1AD8ABDF8260}"/>
    <hyperlink ref="G18" r:id="rId65" display="Rapier" xr:uid="{2335C8F3-6097-4166-AF90-9A1E17E18CED}"/>
    <hyperlink ref="H19" r:id="rId66" display="Longbow" xr:uid="{50606E4B-5376-46AC-AC88-6C27846F7200}"/>
    <hyperlink ref="C352" r:id="rId67" xr:uid="{0673008C-34A8-46F3-8C54-7DED4EECD9BC}"/>
    <hyperlink ref="C363" r:id="rId68" xr:uid="{272D6888-3A2D-409F-BB49-AAD938BE8FE1}"/>
    <hyperlink ref="C379" r:id="rId69" xr:uid="{CAC2C503-9AD6-434D-8F58-16FE18E40C7B}"/>
    <hyperlink ref="C390" r:id="rId70" xr:uid="{21E894B7-D017-4250-BE75-B68B1331C9A1}"/>
    <hyperlink ref="C417" r:id="rId71" xr:uid="{70CF529D-D9C5-49E4-A1B4-BA0BCF7FBACE}"/>
    <hyperlink ref="C444" r:id="rId72" xr:uid="{C470A737-C666-428D-B4C2-FD6B2C54E601}"/>
    <hyperlink ref="C432" r:id="rId73" xr:uid="{9CE74D95-42BB-4864-8FEE-37A94A266E9A}"/>
    <hyperlink ref="C435" r:id="rId74" xr:uid="{4F4EF27B-2F93-44EB-A4F5-892A52E38509}"/>
    <hyperlink ref="B444" r:id="rId75" xr:uid="{55CF161F-1AFC-40D1-A021-8AA2A58685F9}"/>
    <hyperlink ref="B432" r:id="rId76" xr:uid="{16C92898-1907-486C-9A90-71481996286F}"/>
    <hyperlink ref="B435" r:id="rId77" xr:uid="{BE8E79DD-588C-470E-844B-2EC0692E1903}"/>
    <hyperlink ref="E444" r:id="rId78" xr:uid="{064E7F93-02E8-40FE-BBF3-E12B1256B78F}"/>
    <hyperlink ref="E432" r:id="rId79" xr:uid="{F23BDAC8-9580-4838-B5CF-8EC985DC6CAE}"/>
    <hyperlink ref="E435" r:id="rId80" xr:uid="{926199F9-CCEE-4829-85D3-ED1F21CABDAA}"/>
    <hyperlink ref="G444" r:id="rId81" xr:uid="{5299B29F-AC7C-4281-B9FA-4EC3B40486C6}"/>
    <hyperlink ref="G432" r:id="rId82" xr:uid="{E15F3AA7-24BF-44BA-962A-AC8453B94963}"/>
    <hyperlink ref="G435" r:id="rId83" xr:uid="{39D40D33-67CF-4978-8573-E88631C9BB11}"/>
    <hyperlink ref="H444" r:id="rId84" xr:uid="{D9948B80-5B0A-4DE8-815F-92E4D7F1732E}"/>
    <hyperlink ref="H432" r:id="rId85" xr:uid="{CF69CF52-8720-4B4A-811C-AADA6A9DBA1E}"/>
    <hyperlink ref="H435" r:id="rId86" xr:uid="{755875D7-1C69-4416-870D-A817C12424A2}"/>
    <hyperlink ref="B379" r:id="rId87" xr:uid="{4944F12D-77B1-4F9E-8F6E-50288227E6F4}"/>
    <hyperlink ref="B390" r:id="rId88" xr:uid="{E69F985D-7CAE-42B7-99AF-F9972BBC5843}"/>
    <hyperlink ref="E390" r:id="rId89" xr:uid="{15014CFA-7708-4CC7-A4E3-FC5AAD96F8DA}"/>
    <hyperlink ref="E379" r:id="rId90" xr:uid="{43DF284D-C5E8-43AC-B44E-501B3FFC954D}"/>
    <hyperlink ref="E380" r:id="rId91" xr:uid="{8F2CD53A-E8DB-4BA2-8AA6-AEB7AD74A748}"/>
    <hyperlink ref="E381" r:id="rId92" xr:uid="{6018BC4F-2DC7-4EC7-BFF6-0EAEAF8DE615}"/>
    <hyperlink ref="E382" r:id="rId93" xr:uid="{D0190B2E-87F6-4333-822D-293784B9E1A2}"/>
    <hyperlink ref="F353" r:id="rId94" xr:uid="{7D52D1D2-9902-44D4-841B-048F48EA7276}"/>
    <hyperlink ref="F352" r:id="rId95" xr:uid="{4E205116-7339-4858-BFE3-B1A0DA0B9D5D}"/>
    <hyperlink ref="F363" r:id="rId96" xr:uid="{0D450B7D-E809-42FB-8B32-8B1BABEA87AF}"/>
    <hyperlink ref="F379" r:id="rId97" xr:uid="{410D4E32-318C-422F-8867-73BD3176DDA6}"/>
    <hyperlink ref="F382" r:id="rId98" display="Versatile B" xr:uid="{FCC245E7-B55B-43E6-B564-3C3486F0A9AC}"/>
    <hyperlink ref="F390" r:id="rId99" xr:uid="{67375ACC-7AF2-48BD-9A91-23B0A05B90A7}"/>
    <hyperlink ref="F380" r:id="rId100" xr:uid="{D68A0116-8717-497B-9561-666CB84AD4E3}"/>
    <hyperlink ref="F381" r:id="rId101" xr:uid="{26AC883F-1CEB-45A0-934C-5468ECBFA3B9}"/>
    <hyperlink ref="G379" r:id="rId102" xr:uid="{071A608A-D735-494E-B040-6987B518E9C8}"/>
    <hyperlink ref="G382" r:id="rId103" display="Versatile B" xr:uid="{6EB15ED6-E574-4C09-BA7D-F9AF487D360E}"/>
    <hyperlink ref="G390" r:id="rId104" xr:uid="{CFD5969E-BD72-48CF-A74E-E500D9E1BB97}"/>
    <hyperlink ref="G380" r:id="rId105" xr:uid="{13BA1964-EA06-498B-BF57-0FF25DFD9254}"/>
    <hyperlink ref="G381" r:id="rId106" xr:uid="{C5AFCE50-BE08-455E-AFC3-90443B6FECB8}"/>
    <hyperlink ref="H379" r:id="rId107" xr:uid="{B3C3573C-09C0-4612-9B3F-5E6C577DAB29}"/>
    <hyperlink ref="H390" r:id="rId108" xr:uid="{70D46E15-A40E-46DD-89DA-A08EBF2B64FC}"/>
    <hyperlink ref="H380" r:id="rId109" xr:uid="{421C4A0B-70CB-4051-9F82-BF1452084480}"/>
    <hyperlink ref="H381" r:id="rId110" xr:uid="{EB18D9C0-36A9-45F6-A8E9-64A3A6183526}"/>
    <hyperlink ref="H352" r:id="rId111" display="Versatile S" xr:uid="{8B44ACE8-C0DB-45D9-8313-8A036FCF07FE}"/>
    <hyperlink ref="H363" r:id="rId112" xr:uid="{6862E758-073B-4595-BF30-46390A029B36}"/>
    <hyperlink ref="G363" r:id="rId113" xr:uid="{08CA82CE-6CC1-482B-8C9A-ABBA080D1B4E}"/>
    <hyperlink ref="G354" r:id="rId114" xr:uid="{401B9C36-85BF-474D-B0C2-C1C96BAAB6A6}"/>
    <hyperlink ref="G353" r:id="rId115" xr:uid="{DA83BAC0-EC07-4219-B390-E02813529192}"/>
    <hyperlink ref="G352" r:id="rId116" xr:uid="{18DD1933-C581-415D-890C-CD2910962803}"/>
    <hyperlink ref="E352" r:id="rId117" xr:uid="{F4B10F72-D649-4182-B1B6-5F424C029CBE}"/>
    <hyperlink ref="E363" r:id="rId118" xr:uid="{353D7350-EA29-4BFD-A83E-21D1D0D91523}"/>
    <hyperlink ref="E406" r:id="rId119" xr:uid="{AEC0C80D-D205-452F-A59C-17B02F1E361F}"/>
    <hyperlink ref="E417" r:id="rId120" xr:uid="{F8B15758-C286-4763-AF32-15A67CA4C528}"/>
    <hyperlink ref="B352" r:id="rId121" xr:uid="{EE3C6123-0E3B-4E82-A755-C95428765D1F}"/>
    <hyperlink ref="B351" r:id="rId122" xr:uid="{96833980-5F40-47DD-925F-11D2A6709E90}"/>
    <hyperlink ref="B363" r:id="rId123" xr:uid="{E90EF84C-ED1A-4D35-9A1B-F85F9B7CDB63}"/>
    <hyperlink ref="B406" r:id="rId124" xr:uid="{B17E1F71-40EC-479C-A2A5-B1DD56325354}"/>
    <hyperlink ref="B417" r:id="rId125" xr:uid="{3A8B0ED9-E8A4-46F9-A53D-D37A353AD657}"/>
    <hyperlink ref="H406" r:id="rId126" xr:uid="{658B50D4-BEBF-44CD-9C21-66129958BA47}"/>
    <hyperlink ref="H407" r:id="rId127" xr:uid="{19FC3AD4-E66B-42FD-8E6A-2BDAE1D83B0B}"/>
    <hyperlink ref="H417" r:id="rId128" xr:uid="{EC7CF111-4EA0-4CE1-A8EA-84EEEA8D8AF2}"/>
    <hyperlink ref="E11:G11" r:id="rId129" display="Rations (1 week)" xr:uid="{A97629AF-73E2-4A7E-878F-C4918A1185DF}"/>
    <hyperlink ref="E9:G9" r:id="rId130" display="Chalk * 10" xr:uid="{B1C42770-0A0F-4DF1-88D6-1EB574815E51}"/>
    <hyperlink ref="E14:G14" r:id="rId131" display="Torch" xr:uid="{61E0E382-8E82-46CA-A96E-E20C3D136813}"/>
    <hyperlink ref="H471" r:id="rId132" xr:uid="{04093376-38F6-4F0F-9C28-8055BC3F8959}"/>
    <hyperlink ref="H460" r:id="rId133" display="Agile" xr:uid="{3E4B9983-61AE-47FB-85E0-E0AA896E4470}"/>
    <hyperlink ref="H462" r:id="rId134" xr:uid="{DCB9325A-1F7A-4114-8131-9087AE09F093}"/>
    <hyperlink ref="H463" r:id="rId135" xr:uid="{0597AD64-3895-462D-A978-22CF6DD328BB}"/>
    <hyperlink ref="H464" r:id="rId136" xr:uid="{6044AD40-7029-44E4-8AF3-10E9E987CF4E}"/>
    <hyperlink ref="H17" r:id="rId137" xr:uid="{EC9E2B85-E4ED-474C-8AFD-2E12C02D12F7}"/>
    <hyperlink ref="D2" r:id="rId138" display="Druid Kit" xr:uid="{64D3FFC4-E08D-431F-AFFC-8E589B418D7D}"/>
    <hyperlink ref="D7" r:id="rId139" xr:uid="{45718845-ACD1-45C6-8A38-AF448B4DA3F4}"/>
    <hyperlink ref="D8" r:id="rId140" xr:uid="{F07FA793-1A29-4C0D-BB53-66089F193C9D}"/>
    <hyperlink ref="D9" r:id="rId141" display="Chalk * 10" xr:uid="{CC66D8FD-D9E9-4188-A65B-903AF3A23642}"/>
    <hyperlink ref="D10" r:id="rId142" xr:uid="{9F89646F-1DE3-46CF-AC4A-900658F88DAC}"/>
    <hyperlink ref="D12" r:id="rId143" xr:uid="{F48184A4-C736-4AB8-A97A-389DB6BA1C57}"/>
    <hyperlink ref="D11" r:id="rId144" display="Rations (1 week)" xr:uid="{AADAC5F8-824E-4342-B96E-9B18711E3A2C}"/>
    <hyperlink ref="D13" r:id="rId145" xr:uid="{2D22E3AC-FE83-4CE0-B18E-54E14B927A91}"/>
    <hyperlink ref="D14" r:id="rId146" xr:uid="{1CD1FEDB-5743-4334-8AB2-3F73EA641A56}"/>
    <hyperlink ref="D15" r:id="rId147" xr:uid="{84BFD3C2-F8C4-4C09-9F43-9E6865A7E8BA}"/>
    <hyperlink ref="D16" r:id="rId148" display="Dagger" xr:uid="{A7C77CF5-6ADC-4689-94EF-E00C45B0F7F8}"/>
    <hyperlink ref="D1" r:id="rId149" location="id=2544341" xr:uid="{50218CBF-FDF0-4932-B5CB-86717BF2DC35}"/>
    <hyperlink ref="D379" r:id="rId150" xr:uid="{2F866258-1748-4C64-8E3F-E1DD2A8416FC}"/>
    <hyperlink ref="D382" r:id="rId151" display="Versatile B" xr:uid="{8F07F4B9-420A-4B8B-8275-DF4476623F08}"/>
    <hyperlink ref="D390" r:id="rId152" xr:uid="{650988CF-80CD-4CB0-AE4C-2E0B65C968A0}"/>
    <hyperlink ref="D380" r:id="rId153" xr:uid="{7DB71868-1AF2-4DAB-B8B6-720992EAD2F8}"/>
    <hyperlink ref="D381" r:id="rId154" xr:uid="{C0292960-399F-46C4-AD1D-0AE16E96ECC0}"/>
    <hyperlink ref="D444" r:id="rId155" xr:uid="{EE4D806E-3E28-4FD6-91ED-C23967F4C1BD}"/>
    <hyperlink ref="D432" r:id="rId156" xr:uid="{40262A21-52B8-4A61-85F4-10600C8747C0}"/>
    <hyperlink ref="D435" r:id="rId157" xr:uid="{3F0AABC8-C0C6-4416-B49D-1AE447CCDE99}"/>
    <hyperlink ref="D406" r:id="rId158" xr:uid="{85C352B4-EFAE-4C21-9EE3-4E5770F727B6}"/>
    <hyperlink ref="D417" r:id="rId159" xr:uid="{5CB34796-D4FF-45A5-B815-973E96F32B34}"/>
    <hyperlink ref="G17" r:id="rId160" xr:uid="{D19F16CC-3D49-482F-A445-1121DAC72DDC}"/>
    <hyperlink ref="G408" r:id="rId161" xr:uid="{6E489A73-7398-437C-9C92-A473E81F8D42}"/>
    <hyperlink ref="E19" r:id="rId162" display="Flail 1d6" xr:uid="{E9A8A000-69A4-4428-84E6-7E645AD8677B}"/>
    <hyperlink ref="E460" r:id="rId163" xr:uid="{396063D7-2062-4640-B8AD-E83100B2FD78}"/>
    <hyperlink ref="D17" r:id="rId164" display="Greataxe" xr:uid="{90DCD4E7-33CF-4920-9877-6AD4F87C6A2B}"/>
    <hyperlink ref="D352" r:id="rId165" xr:uid="{17D1AE51-09A8-4B9F-B4C9-5808F0C150BB}"/>
    <hyperlink ref="D363" r:id="rId166" xr:uid="{058EB118-87B5-47C3-BA35-559AF604EFD2}"/>
    <hyperlink ref="D18" r:id="rId167" display="Sling" xr:uid="{17CA9CD3-A5C3-45FB-90C8-5E71F2C2DB1B}"/>
    <hyperlink ref="H498" r:id="rId168" xr:uid="{E9E3E761-CB0C-428A-BDC0-0740A40D7628}"/>
    <hyperlink ref="F17" r:id="rId169" display="Scimitar" xr:uid="{392C5781-B8F6-4954-843C-9D2DECFCE37C}"/>
    <hyperlink ref="B16" r:id="rId170" xr:uid="{B1A69C21-B154-4D4A-B78D-3ED64016494C}"/>
    <hyperlink ref="C17" r:id="rId171" display="Crossbow [20]" xr:uid="{C81A078F-7700-4423-B86D-C2955C7E9A45}"/>
    <hyperlink ref="C16" r:id="rId172" display="Staff" xr:uid="{AFC33751-9775-4986-8FFC-2D36F559CF5E}"/>
    <hyperlink ref="G417" r:id="rId173" xr:uid="{F1D25758-FF82-46B1-A57B-14AC9D07BCCD}"/>
    <hyperlink ref="E471" r:id="rId174" display="Flail" xr:uid="{89DB17D8-1B32-4BF6-AD32-1FF7007CB335}"/>
    <hyperlink ref="F417" r:id="rId175" xr:uid="{4A4267E3-31EB-4189-ADB9-AC8614D6123D}"/>
    <hyperlink ref="F405" r:id="rId176" xr:uid="{BCD6835E-17D0-462D-965F-9A341FE6BE9C}"/>
    <hyperlink ref="F408" r:id="rId177" xr:uid="{85881B2D-6147-4305-87C9-0266551DA5C7}"/>
    <hyperlink ref="F444" r:id="rId178" xr:uid="{3629459E-0FC8-4763-8ECF-5B26B9892CEA}"/>
    <hyperlink ref="F433" r:id="rId179" xr:uid="{38949C93-C700-48D8-863A-A61A875EAB1D}"/>
    <hyperlink ref="B17" r:id="rId180" display="Leather Armor (+1 M4 -1/10)" xr:uid="{AE92A46C-7174-4795-87E7-04C9FAFE24E9}"/>
    <hyperlink ref="B18" r:id="rId181" display="Holly and mistletoe" xr:uid="{818AD396-6F3A-4C4E-B22E-2654D5998D7F}"/>
    <hyperlink ref="B19" r:id="rId182" xr:uid="{66458076-453D-430D-8682-EE4024C00E26}"/>
    <hyperlink ref="E20" r:id="rId183" xr:uid="{956F851E-D2A2-4191-AFB9-E0BAD6098CA3}"/>
    <hyperlink ref="F19" r:id="rId184" xr:uid="{F89F1EAF-EEF4-42CE-8812-5A423C7E7C55}"/>
    <hyperlink ref="F20" r:id="rId185" xr:uid="{58DFE7E6-7B13-4841-8F0D-FEC48FD52434}"/>
    <hyperlink ref="F21" r:id="rId186" xr:uid="{6F9E45A4-2680-40B7-8863-1FF8280B7E40}"/>
    <hyperlink ref="F23" r:id="rId187" xr:uid="{1BCD93BB-6A2F-4272-A687-11B8CF378B74}"/>
    <hyperlink ref="F22" r:id="rId188" xr:uid="{C47A8A25-982C-4283-9F28-515DB800AEF2}"/>
    <hyperlink ref="F24" r:id="rId189" xr:uid="{E6D06895-6DBA-4E2D-8469-74B5DCF020F7}"/>
    <hyperlink ref="G19" r:id="rId190" display="Leather Armor (+1 M4 -1/10)" xr:uid="{E1999AFA-C425-4406-A25A-35C21BBFCAA4}"/>
    <hyperlink ref="A60" r:id="rId191" xr:uid="{DB628908-D27B-4D08-993D-4B7EEE84586A}"/>
    <hyperlink ref="A61" r:id="rId192" xr:uid="{D9A69754-625B-4CF4-A9A7-C6AAF3C5C8BB}"/>
    <hyperlink ref="A62" r:id="rId193" display="Chalk * 10" xr:uid="{0180F50A-D8F4-42B2-A452-349C0FC09D6A}"/>
    <hyperlink ref="A63" r:id="rId194" xr:uid="{B0DA631A-41AA-4A28-BA86-555F00473B2F}"/>
    <hyperlink ref="A65" r:id="rId195" xr:uid="{A4DCD44B-106D-4F52-91A9-71FDF8EE10FA}"/>
    <hyperlink ref="A64" r:id="rId196" display="Rations (1 week)" xr:uid="{195017A8-9BCA-4E26-B4E9-E7FDB5AE8189}"/>
    <hyperlink ref="A66" r:id="rId197" xr:uid="{2F62E275-06C2-447C-B819-1E79A3368828}"/>
    <hyperlink ref="A67" r:id="rId198" xr:uid="{929EFE4F-524F-423D-BCE9-72F0EE824EAB}"/>
    <hyperlink ref="A68" r:id="rId199" xr:uid="{2C693D90-33A1-407E-B4F4-BD7E33C6638C}"/>
    <hyperlink ref="F406" r:id="rId200" xr:uid="{A953C958-B7D3-41B3-A4F2-9377D1E4A47D}"/>
    <hyperlink ref="F407" r:id="rId201" xr:uid="{1A488FCF-B4D1-4EF0-8D2B-EFB7EA8EF483}"/>
    <hyperlink ref="G406" r:id="rId202" xr:uid="{E08D4D26-DF1D-4A9F-9CC7-03A6150D1E92}"/>
    <hyperlink ref="G407" r:id="rId203" xr:uid="{8B41D757-E639-49B7-88FB-5E40630AF014}"/>
    <hyperlink ref="B433" r:id="rId204" xr:uid="{BEC5D4BD-9E7F-49ED-9C2C-9CDA8CA22D19}"/>
    <hyperlink ref="B434" r:id="rId205" xr:uid="{8DF7AD02-6068-4DDC-B1B0-D556C77BA4AC}"/>
    <hyperlink ref="C433" r:id="rId206" xr:uid="{3107114B-F8E4-4505-A732-E4CAE5C20118}"/>
    <hyperlink ref="C434" r:id="rId207" xr:uid="{B6A7732B-9010-4AB5-B640-FD54FFC8B6C9}"/>
    <hyperlink ref="D433" r:id="rId208" xr:uid="{87D86D46-E3FD-4938-A23B-3929BF261D7B}"/>
    <hyperlink ref="E433" r:id="rId209" xr:uid="{AEB9C30A-4D51-44E3-B60F-93918A8FB980}"/>
    <hyperlink ref="D434" r:id="rId210" xr:uid="{4477BDFE-3687-4AC2-BF04-D282169649CC}"/>
    <hyperlink ref="E434" r:id="rId211" xr:uid="{1FA8B89B-79FF-4A9C-90F9-4483648ED2A8}"/>
    <hyperlink ref="G433" r:id="rId212" xr:uid="{CE4C59CB-9ABC-4C7D-AB9C-FC27EFE5A508}"/>
    <hyperlink ref="H433" r:id="rId213" xr:uid="{1E94049F-206B-46C7-A379-200092CD7EFF}"/>
    <hyperlink ref="G434" r:id="rId214" xr:uid="{68473478-5D1B-493F-877B-180A934539F7}"/>
    <hyperlink ref="H434" r:id="rId215" xr:uid="{33DF42CB-A53A-455F-A843-4B92C5D5FAB8}"/>
    <hyperlink ref="H461" r:id="rId216" xr:uid="{7F5E8AA1-D919-4043-8764-9EF5B179DB37}"/>
    <hyperlink ref="B512" r:id="rId217" display="[Protect Companion] Life Block" xr:uid="{124C9AA8-11DB-4F2A-A668-B7AFAE82837E}"/>
    <hyperlink ref="C23" r:id="rId218" xr:uid="{C74E33E8-2BFD-4CD3-B6A9-412DC55C3C8C}"/>
    <hyperlink ref="H520" r:id="rId219" xr:uid="{CB8FD256-2040-4201-A867-E3377EA46628}"/>
    <hyperlink ref="H516" r:id="rId220" xr:uid="{EFEDF628-FA92-4C83-B2C4-D1FB17276A77}"/>
    <hyperlink ref="H512" r:id="rId221" xr:uid="{7D8B896A-4A5E-4C92-B89A-80C59103AE3A}"/>
    <hyperlink ref="E512" r:id="rId222" xr:uid="{DD165BA8-A7BC-4D75-865A-38E1CBDF3C61}"/>
    <hyperlink ref="B515" r:id="rId223" xr:uid="{7C64718F-1224-4EE7-8D80-C3489D4C6322}"/>
    <hyperlink ref="C512" r:id="rId224" xr:uid="{B0E14CE6-BCF0-44CD-8CB9-26D4D89A9DB5}"/>
    <hyperlink ref="C18" r:id="rId225" xr:uid="{FEF4A22D-A9AD-47F8-99FB-C680C38AC7FC}"/>
    <hyperlink ref="G20" r:id="rId226" xr:uid="{46D4E93D-7DE8-4E51-9C51-22075F812D66}"/>
    <hyperlink ref="C19" r:id="rId227" xr:uid="{8DFFE0F2-B6DF-435A-AEDA-790B9346EF63}"/>
    <hyperlink ref="C20" r:id="rId228" xr:uid="{103E6F0B-018E-448A-B5E7-6DAC258DEFDA}"/>
    <hyperlink ref="C21" r:id="rId229" xr:uid="{514E29DD-E669-4D3A-B7E0-F42074EA43E4}"/>
    <hyperlink ref="C22" r:id="rId230" xr:uid="{647D3FAE-8768-4555-8E8A-F2A13DB27A33}"/>
    <hyperlink ref="D20" r:id="rId231" display="+1 Chain Shirt (+2 M4 -1/10, noisy)" xr:uid="{6B03390A-8367-4ABD-B09B-8E1C2B2E3882}"/>
    <hyperlink ref="D21" r:id="rId232" xr:uid="{54D537E7-E9EE-46CD-83AA-0209CE99295A}"/>
    <hyperlink ref="D22" r:id="rId233" xr:uid="{6DCC570E-C50C-4583-8686-9F2D9B25EBC2}"/>
    <hyperlink ref="D23" r:id="rId234" xr:uid="{A5F49777-1B0D-4888-B1A1-1BA459164784}"/>
    <hyperlink ref="D19" r:id="rId235" xr:uid="{34D4307A-BC33-451A-98F1-E5BD5C5C41AA}"/>
    <hyperlink ref="E21" r:id="rId236" xr:uid="{08925714-5BF7-45E1-A2EE-3685ECE8E3F0}"/>
    <hyperlink ref="H24" r:id="rId237" xr:uid="{45C3F415-01E0-4619-85D1-67D981FFB656}"/>
    <hyperlink ref="G21" r:id="rId238" xr:uid="{6876D317-AAE3-4107-8BB3-E96F11919954}"/>
    <hyperlink ref="G22" r:id="rId239" xr:uid="{C66DA160-190C-48F9-9E44-5F7773964E0B}"/>
    <hyperlink ref="H27" r:id="rId240" xr:uid="{D9C5EBE1-8026-4C2B-AE0D-E6E6E0FF6FB3}"/>
    <hyperlink ref="H20" r:id="rId241" xr:uid="{2D4D7411-0EC5-4437-89AB-71C57DF3B732}"/>
    <hyperlink ref="H28" r:id="rId242" xr:uid="{14363879-5FAB-43CB-B227-5ECC3A222320}"/>
    <hyperlink ref="H22" r:id="rId243" display="Hide Armor (+3 M2 -2/14)" xr:uid="{C34BD3FE-79DE-4F84-83AB-A200C382B8F9}"/>
    <hyperlink ref="H21" r:id="rId244" xr:uid="{B3C36CEC-38BC-460F-A6DA-71A4408908B8}"/>
    <hyperlink ref="H23" r:id="rId245" xr:uid="{CAE11310-9850-4953-846C-65B310ACAB9A}"/>
    <hyperlink ref="H26" r:id="rId246" display="Potion Minor Healing" xr:uid="{E43DB6F4-EB76-44EF-849C-A42A02F0C056}"/>
    <hyperlink ref="H25" r:id="rId247" xr:uid="{92BA5D48-F531-4D56-A7B7-799CA2CA4022}"/>
    <hyperlink ref="F18" r:id="rId248" xr:uid="{6C7240F9-D299-42A3-9C1C-6F60DB3035CE}"/>
    <hyperlink ref="A277" r:id="rId249" xr:uid="{E5DC14A1-FF99-478F-9C53-9AF7BDB0D680}"/>
    <hyperlink ref="A278" r:id="rId250" xr:uid="{8795E0ED-4574-4448-B1BC-11D3B9536EF1}"/>
    <hyperlink ref="A279" r:id="rId251" display="Chalk * 10" xr:uid="{92B358A0-4249-47CC-A8EA-8F1907B51437}"/>
    <hyperlink ref="A280" r:id="rId252" xr:uid="{3687D694-4EDE-4530-AE1E-1CC2CD27B7DB}"/>
    <hyperlink ref="A282" r:id="rId253" xr:uid="{1363E892-0B29-48C0-B89C-A59269C5101D}"/>
    <hyperlink ref="A281" r:id="rId254" display="Rations (1 week)" xr:uid="{D546BB46-8EFA-4D07-B941-4F4C92C71FE1}"/>
    <hyperlink ref="A283" r:id="rId255" xr:uid="{BC5AD242-B167-46E7-BC90-11FF866F1894}"/>
    <hyperlink ref="A284" r:id="rId256" xr:uid="{23E39651-EA43-420A-9907-E1FC6C5B6B91}"/>
    <hyperlink ref="A285" r:id="rId257" xr:uid="{5D6EDB27-1309-46A2-BAD9-E8DA152BFD9B}"/>
    <hyperlink ref="A168" r:id="rId258" xr:uid="{D756389D-293B-4725-B039-55AF5117BFF7}"/>
    <hyperlink ref="A169" r:id="rId259" xr:uid="{830881D3-ED1B-4DC0-AEE7-AB406A7010AB}"/>
    <hyperlink ref="A170" r:id="rId260" display="Chalk * 10" xr:uid="{A194DEB2-8D2B-498F-9967-CD3F626EB07B}"/>
    <hyperlink ref="A171" r:id="rId261" xr:uid="{6AFA6A92-2C9B-48A7-9FBD-2739EEB377AE}"/>
    <hyperlink ref="A173" r:id="rId262" xr:uid="{C760405C-22F4-4DFF-B0F5-4DFAAD2641FF}"/>
    <hyperlink ref="A172" r:id="rId263" display="Rations (1 week)" xr:uid="{8E344236-C3CF-4E57-8425-A617ACB34C9C}"/>
    <hyperlink ref="A174" r:id="rId264" xr:uid="{52AB152C-E4AE-40C6-BC24-52FF2337360B}"/>
    <hyperlink ref="A175" r:id="rId265" xr:uid="{03F96281-DAE5-4763-A117-4F0562430AB1}"/>
    <hyperlink ref="A176" r:id="rId266" xr:uid="{D7266736-027A-410E-B383-3FB50B2C6A00}"/>
    <hyperlink ref="A114" r:id="rId267" xr:uid="{81D7B938-3E0D-45AA-8BBC-6A4144B93CD4}"/>
    <hyperlink ref="A115" r:id="rId268" xr:uid="{7929BAC6-4D96-4EEC-B2F7-EC62F503B829}"/>
    <hyperlink ref="A116" r:id="rId269" display="Chalk * 10" xr:uid="{E237E690-644C-4807-AEAE-460D4DD879BB}"/>
    <hyperlink ref="A117" r:id="rId270" xr:uid="{B43230CC-5AFA-478D-BD4A-C332A9C8A550}"/>
    <hyperlink ref="A119" r:id="rId271" xr:uid="{6FBE54FB-9084-4135-A210-7B5EDEBF235C}"/>
    <hyperlink ref="A118" r:id="rId272" display="Rations (1 week)" xr:uid="{E428E648-DF94-489F-835B-781A37B0E68B}"/>
    <hyperlink ref="A120" r:id="rId273" xr:uid="{9E51A29C-E50F-4C61-941C-AC84B73C9928}"/>
    <hyperlink ref="A121" r:id="rId274" xr:uid="{1138633B-2054-491F-9897-3CF59E39AAF8}"/>
    <hyperlink ref="A122" r:id="rId275" xr:uid="{04643066-2748-423D-A188-E1FD4DB261CF}"/>
    <hyperlink ref="A222" r:id="rId276" xr:uid="{8FA7FAAE-E2DE-4BA5-AA45-4147270641E7}"/>
    <hyperlink ref="A223" r:id="rId277" display="Chalk * 10" xr:uid="{EFF942C3-65C2-4787-BB62-22F2D935152F}"/>
    <hyperlink ref="A224" r:id="rId278" xr:uid="{DBC57C97-B974-4DE0-B60B-E033C67DBD18}"/>
    <hyperlink ref="A226" r:id="rId279" xr:uid="{6B1BC92A-32E8-4A5D-B0DF-85E4891B0B2C}"/>
    <hyperlink ref="A225" r:id="rId280" display="Rations (1 week)" xr:uid="{558B0D4E-96D2-489B-8C6E-844F80494E04}"/>
    <hyperlink ref="A227" r:id="rId281" xr:uid="{CD029AD5-9DFC-4AA4-AD5A-AFF1ECFCE3CC}"/>
    <hyperlink ref="A228" r:id="rId282" xr:uid="{650328F2-3A31-4BC3-B204-E9A43EEFD8A0}"/>
    <hyperlink ref="A229" r:id="rId283" xr:uid="{07D60F4B-BC46-4187-82D9-CF850C09E64C}"/>
    <hyperlink ref="E22" r:id="rId284" display="Oil of Potentcy" xr:uid="{1A6C5DD7-FD2B-4F4B-870D-75D8E21B644F}"/>
    <hyperlink ref="I7" r:id="rId285" xr:uid="{129D2B43-8A7A-4CC5-9A84-AB5C39E6B234}"/>
    <hyperlink ref="I8" r:id="rId286" xr:uid="{9814C9F6-27A7-4E8D-9259-7973EC5BC489}"/>
    <hyperlink ref="I9" r:id="rId287" display="Chalk * 10" xr:uid="{D04B581A-CF24-43B1-B42E-D7EA83E54931}"/>
    <hyperlink ref="I10" r:id="rId288" xr:uid="{51A311F4-6571-4F28-AED7-D0AB02B8C020}"/>
    <hyperlink ref="I12" r:id="rId289" xr:uid="{A90E8425-0217-4AE0-B20B-B8C73BD7E5F4}"/>
    <hyperlink ref="I11" r:id="rId290" display="Rations (1 week)" xr:uid="{58BAD9AE-3F4E-492F-8A6F-537CE71EF399}"/>
    <hyperlink ref="I13" r:id="rId291" xr:uid="{44846BA3-B8C1-4AE5-A918-6F995AE6F2DF}"/>
    <hyperlink ref="I14" r:id="rId292" xr:uid="{C9D80C1C-B87C-4229-B2E9-770E3AD2BC57}"/>
    <hyperlink ref="I15" r:id="rId293" xr:uid="{4D2BFCB1-4CF9-4B61-8BB1-C63C2F9192FB}"/>
    <hyperlink ref="I16" r:id="rId294" display="Dagger" xr:uid="{1534E386-68E8-4966-9501-AE25C6D18F24}"/>
    <hyperlink ref="I444" r:id="rId295" xr:uid="{BC188E27-8AA9-4877-A159-BA0F3D96C7EF}"/>
    <hyperlink ref="I432" r:id="rId296" xr:uid="{F46FF3DC-31E1-4F8D-A09D-1BD02CCD7025}"/>
    <hyperlink ref="I435" r:id="rId297" xr:uid="{CA92155E-8AA7-4AC5-A18A-006F3B55FC02}"/>
    <hyperlink ref="I379" r:id="rId298" xr:uid="{14A306B2-BCCB-484A-99C7-51103987B90E}"/>
    <hyperlink ref="I382" r:id="rId299" display="Versatile B" xr:uid="{6D3B07ED-A63C-4121-A33D-81DD23B00475}"/>
    <hyperlink ref="I390" r:id="rId300" xr:uid="{F39E33EF-3A39-40A0-B0C4-F54F50B27546}"/>
    <hyperlink ref="I380" r:id="rId301" xr:uid="{BBC379B4-98CF-40D1-AA89-15BCED62D4F0}"/>
    <hyperlink ref="I381" r:id="rId302" xr:uid="{4C6A88C9-AD78-40D1-96BC-74F8C66801F9}"/>
    <hyperlink ref="I433" r:id="rId303" xr:uid="{5EB63AEC-30E8-4884-9744-777D0445FF0D}"/>
    <hyperlink ref="I434" r:id="rId304" xr:uid="{8223FEE1-96FD-44A7-A692-EE1765C9C59C}"/>
    <hyperlink ref="I2" r:id="rId305" display="xx" xr:uid="{A875ED95-3570-4FAB-98D4-D5C75B0C77EB}"/>
    <hyperlink ref="I352" r:id="rId306" xr:uid="{86A45765-297E-4974-834B-9CD8DF4D0296}"/>
    <hyperlink ref="I351" r:id="rId307" xr:uid="{D42C0406-1E74-423F-8C62-00B439FE4227}"/>
    <hyperlink ref="I363" r:id="rId308" xr:uid="{21600D4F-95FC-46D1-B81F-9F7A39EF63FA}"/>
    <hyperlink ref="I512" r:id="rId309" xr:uid="{AD79139D-D2EC-4F68-8393-C1E69574E799}"/>
    <hyperlink ref="I22" r:id="rId310" display="Dagger" xr:uid="{8CDCD764-A78A-475B-A897-13C7A09C6B64}"/>
    <hyperlink ref="I21" r:id="rId311" xr:uid="{05751A09-70A6-45D4-9C6D-5625058C674D}"/>
    <hyperlink ref="I19" r:id="rId312" xr:uid="{534D318D-7F22-4ACB-86C3-418584AF8913}"/>
    <hyperlink ref="I18" r:id="rId313" xr:uid="{FE6C0934-5A3C-47A3-A3FA-D424BA9F6EEC}"/>
    <hyperlink ref="I17" r:id="rId314" display="Rapier" xr:uid="{47AE8EF2-EAED-4E8A-8592-D9D9CF90AC06}"/>
    <hyperlink ref="I20" r:id="rId315" xr:uid="{DBECBD63-82B1-49F3-9701-4A38BB6806CD}"/>
    <hyperlink ref="I417" r:id="rId316" xr:uid="{BFF3FD92-F137-43F6-B17A-07F5D6DB6029}"/>
    <hyperlink ref="I408" r:id="rId317" xr:uid="{E66D7F5F-FF96-4B35-827A-3F72AF82258C}"/>
    <hyperlink ref="I407" r:id="rId318" xr:uid="{1DB1A844-7BC5-4BB5-A554-A79EFD12C5CC}"/>
    <hyperlink ref="I406" r:id="rId319" xr:uid="{BC4BBF41-A693-47AC-AB90-17CE0099AF6B}"/>
    <hyperlink ref="I1" r:id="rId320" location="id=2561941" xr:uid="{4589A538-5B43-43C8-B67A-562A4F0615FF}"/>
    <hyperlink ref="I516" r:id="rId321" display="https://2e.aonprd.com/ArcaneThesis.aspx" xr:uid="{35835948-AA95-4E32-BB58-7B1E8DCAB581}"/>
    <hyperlink ref="G23" r:id="rId322" display="https://2e.aonprd.com/Equipment.aspx?ID=58" xr:uid="{6E481FD4-AC2F-449A-AEB6-A5426A7E1DA3}"/>
    <hyperlink ref="I460" r:id="rId323" xr:uid="{38327DAD-3C1E-412E-AD6A-9C67C45C740C}"/>
    <hyperlink ref="I463" r:id="rId324" display="Versatile B" xr:uid="{CD203017-D6D6-46CA-AD24-395C6FA0B5FB}"/>
    <hyperlink ref="I471" r:id="rId325" xr:uid="{EF129639-C82C-41DA-9EF5-ACCD06903549}"/>
    <hyperlink ref="I461" r:id="rId326" xr:uid="{BDCFF713-68F0-4D30-AF1D-C0EBD4D3ED27}"/>
    <hyperlink ref="I462" r:id="rId327" display="Thrown 10'" xr:uid="{639B8880-027E-4028-BAB4-6B58CD80155F}"/>
    <hyperlink ref="B21" r:id="rId328" xr:uid="{B4A2F644-5C1E-4D1D-BF1E-8316749B88F8}"/>
    <hyperlink ref="C30" r:id="rId329" display="Staff" xr:uid="{1F308BFF-32E9-4F9A-AC99-53901D39FBEB}"/>
    <hyperlink ref="E353" r:id="rId330" xr:uid="{A9989F0E-B7D1-4092-96E7-8BD26096AF52}"/>
    <hyperlink ref="E354" r:id="rId331" display="Two-Hand 1d8" xr:uid="{DC6223EC-7592-4D66-BE20-A846ECCF091A}"/>
    <hyperlink ref="E355" r:id="rId332" xr:uid="{289FEDCE-406F-43E2-8B98-59E98A00796B}"/>
    <hyperlink ref="E487" r:id="rId333" xr:uid="{8DE1920A-9E7A-4347-ABC3-F500AF20B245}"/>
    <hyperlink ref="E498" r:id="rId334" xr:uid="{2A300579-E5F3-4914-BB6E-D1A8898A2682}"/>
    <hyperlink ref="E488" r:id="rId335" xr:uid="{84720C8C-E815-4617-9360-0A95A4CF005D}"/>
    <hyperlink ref="E489" r:id="rId336" display="Two-Hand 1d8" xr:uid="{07AF1809-896A-4175-BD89-741297C04BA3}"/>
    <hyperlink ref="E490" r:id="rId337" xr:uid="{45D82ECD-7712-4B22-B3F9-66B005C234AA}"/>
    <hyperlink ref="E461" r:id="rId338" display="Versatile B" xr:uid="{9DCD97CF-CD01-492F-9FC6-CBA1F7328CAD}"/>
    <hyperlink ref="H29" r:id="rId339" display="Religious Symbol (Platinum, Alseta)" xr:uid="{433648F2-8171-4FF3-948B-CA38CC0BE8A9}"/>
    <hyperlink ref="G24" r:id="rId340" display="Rapier" xr:uid="{8E287CA9-F6C6-492E-9C0D-A52AFEDF9087}"/>
    <hyperlink ref="H32" r:id="rId341" display="Potion Minor Healing" xr:uid="{EF3F602F-7F8C-4A73-B462-313B8DC4ACAF}"/>
    <hyperlink ref="H31" r:id="rId342" xr:uid="{D3617E05-3074-460C-B8AC-835BC54BEE03}"/>
    <hyperlink ref="H30" r:id="rId343" xr:uid="{336558DD-3C81-4481-AF9E-EA42C43E0753}"/>
    <hyperlink ref="L498" r:id="rId344" display="Club" xr:uid="{486946C9-86D1-4281-8BA0-61A1F276C44E}"/>
    <hyperlink ref="L488" r:id="rId345" display="Thrown 10'" xr:uid="{C4500176-2189-4812-B275-0CE660E0FFDB}"/>
    <hyperlink ref="L487" r:id="rId346" xr:uid="{8C607EB3-F558-493C-9C18-43EF462D52F7}"/>
    <hyperlink ref="H487" r:id="rId347" display="Versatile B" xr:uid="{B66765BB-C46C-4F01-9853-A154B733B594}"/>
    <hyperlink ref="I24" r:id="rId348" display="Potion Minor Healing" xr:uid="{5A303CB1-3CB5-455B-BF3A-D0A9B28C5339}"/>
    <hyperlink ref="I23" r:id="rId349" xr:uid="{C101C21C-BA3E-492E-AFD3-A0571EDD35B6}"/>
    <hyperlink ref="E23" r:id="rId350" xr:uid="{139D803D-C515-44AE-8891-ED99C98121E6}"/>
    <hyperlink ref="E24" r:id="rId351" xr:uid="{DE5CA045-6AA0-4538-B1C1-CFB31C9AE91C}"/>
    <hyperlink ref="E25" r:id="rId352" xr:uid="{C3E97994-3700-459B-BC9D-7773C5F451FA}"/>
    <hyperlink ref="E516" r:id="rId353" xr:uid="{C8515D28-8EBB-4DA0-B360-04F930F81DF5}"/>
    <hyperlink ref="G512" r:id="rId354" xr:uid="{88279DF2-FBDB-487D-9662-6A91E97DFC64}"/>
    <hyperlink ref="I520" r:id="rId355" xr:uid="{E7082430-15BE-457C-8C27-3C41FEF3530B}"/>
    <hyperlink ref="H524" r:id="rId356" xr:uid="{9B56207E-BA47-4EAD-9C94-654E566AA753}"/>
    <hyperlink ref="C516" r:id="rId357" xr:uid="{ED745B07-F3F1-40D9-94E3-ECFBF97987D9}"/>
    <hyperlink ref="E520" r:id="rId358" xr:uid="{CB9278C5-EA0B-40E4-BF88-ED3E68D916DE}"/>
    <hyperlink ref="D512" r:id="rId359" xr:uid="{4267E534-59FE-4F0A-A31E-49536D606FA4}"/>
    <hyperlink ref="H35" r:id="rId360" xr:uid="{B54FE9EF-BAEF-4DCD-A6AE-42D37E89B314}"/>
    <hyperlink ref="C33" r:id="rId361" display="Lesser Elixir of Life" xr:uid="{3E007360-B889-488F-84E2-A10511F80EE7}"/>
    <hyperlink ref="C34" r:id="rId362" display="Lesser Antiplague" xr:uid="{FFE9D96B-F979-4AE6-B88B-F73D67414F69}"/>
    <hyperlink ref="E28" r:id="rId363" display="Lesser Antiplague" xr:uid="{6E6155D0-A215-42E1-A4BC-EADE4118F5AA}"/>
    <hyperlink ref="G28" r:id="rId364" display="Lesser Antiplague" xr:uid="{9C9ACF3E-4912-4F18-994A-FF450116E51D}"/>
    <hyperlink ref="I26" r:id="rId365" display="Lesser Antiplague" xr:uid="{FC329CBB-FF64-4F43-8307-153C72C1E78A}"/>
    <hyperlink ref="H42" r:id="rId366" display="Lesser Antiplague" xr:uid="{B6427623-DDF4-45CD-B29B-A18789955E15}"/>
    <hyperlink ref="F30" r:id="rId367" display="Lesser Antiplague" xr:uid="{C5EAE712-9DB4-4B83-97D0-6AC043DE62F0}"/>
    <hyperlink ref="E27" r:id="rId368" display="Lesser Elixir of Life" xr:uid="{351994C2-BAF0-4233-AFCF-669524723080}"/>
    <hyperlink ref="F29" r:id="rId369" display="Lesser Elixir of Life" xr:uid="{064E625C-D555-4804-83A7-470B81ED260A}"/>
    <hyperlink ref="H41" r:id="rId370" display="Lesser Elixir of Life" xr:uid="{3DB8E471-CE26-4DC2-AF0E-928992CF3C42}"/>
    <hyperlink ref="C35" r:id="rId371" xr:uid="{E070F008-8777-4F6F-98AF-36F9E43EE42D}"/>
    <hyperlink ref="H38" r:id="rId372" display="Vine Arrow" xr:uid="{D5D3138F-E8A2-4765-80F0-007822FA1A68}"/>
    <hyperlink ref="H39" r:id="rId373" xr:uid="{83680797-0FAF-468C-9AF1-6F22BB1FAFF7}"/>
    <hyperlink ref="C36" r:id="rId374" xr:uid="{46426959-54C0-4433-A021-7DCEAD1A2B03}"/>
    <hyperlink ref="F31" r:id="rId375" xr:uid="{623E8038-9DB3-452C-9CE2-33957CD9BE0F}"/>
    <hyperlink ref="H37" r:id="rId376" xr:uid="{2EDEE6AF-A9E4-46CD-A32D-E6C5CF106679}"/>
    <hyperlink ref="B24" r:id="rId377" display="Lesser Elixir of Life" xr:uid="{666ECF3E-D591-467C-8B92-7704E6CA914B}"/>
    <hyperlink ref="B25" r:id="rId378" display="Lesser Antiplague" xr:uid="{FD1B4DC9-0151-440D-A2E4-C9F56152D973}"/>
    <hyperlink ref="B26" r:id="rId379" display="Lesser Antiplague" xr:uid="{9230900A-1FE6-4361-BE64-71C514C0E020}"/>
    <hyperlink ref="F32" r:id="rId380" xr:uid="{0735D8DA-2E30-4A7E-B721-DB9877E1B1C7}"/>
    <hyperlink ref="F33" r:id="rId381" xr:uid="{063C3EEE-7B56-4BE8-BB13-42471A51B3B8}"/>
    <hyperlink ref="F460" r:id="rId382" xr:uid="{38D189CC-2B44-4DCC-B615-93DA6A3EF87E}"/>
    <hyperlink ref="F471" r:id="rId383" xr:uid="{C466D635-409B-4E6C-96CF-0B84A548FAA2}"/>
    <hyperlink ref="D460" r:id="rId384" display="Versatile B" xr:uid="{CEC3B1D8-C069-4B62-8418-4E89DF32FDB4}"/>
    <hyperlink ref="D461" r:id="rId385" xr:uid="{4BCA7F21-E3E2-4224-B64F-E9846133D623}"/>
    <hyperlink ref="D471" r:id="rId386" xr:uid="{70F8822A-204A-4F91-97BE-907E421578A0}"/>
    <hyperlink ref="D462" r:id="rId387" xr:uid="{60486862-3E63-42A5-A711-B795B1C967CF}"/>
    <hyperlink ref="D463" r:id="rId388" xr:uid="{0BA60840-574C-443C-A193-7DA2AC49388E}"/>
  </hyperlinks>
  <pageMargins left="0.7" right="0.7" top="0.75" bottom="0.75" header="0.3" footer="0.3"/>
  <pageSetup paperSize="9" orientation="portrait" horizontalDpi="360" verticalDpi="360" r:id="rId38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67CA-C5F4-4EA3-ABCC-02EA10A1AFDF}">
  <dimension ref="A1:C92"/>
  <sheetViews>
    <sheetView showGridLines="0" workbookViewId="0">
      <pane xSplit="1" ySplit="1" topLeftCell="B2" activePane="bottomRight" state="frozen"/>
      <selection pane="topRight"/>
      <selection pane="bottomLeft"/>
      <selection pane="bottomRight" activeCell="B77" sqref="B77"/>
    </sheetView>
  </sheetViews>
  <sheetFormatPr baseColWidth="10" defaultColWidth="11.42578125" defaultRowHeight="15" outlineLevelRow="1" x14ac:dyDescent="0.25"/>
  <cols>
    <col min="1" max="1" width="26" style="445" customWidth="1"/>
    <col min="2" max="3" width="24.42578125" style="445" customWidth="1"/>
    <col min="4" max="16384" width="11.42578125" style="445"/>
  </cols>
  <sheetData>
    <row r="1" spans="1:3" s="449" customFormat="1" ht="15.75" thickBot="1" x14ac:dyDescent="0.3">
      <c r="A1" s="488"/>
      <c r="B1" s="487" t="s">
        <v>153</v>
      </c>
      <c r="C1" s="486" t="s">
        <v>547</v>
      </c>
    </row>
    <row r="2" spans="1:3" x14ac:dyDescent="0.25">
      <c r="A2" s="463" t="s">
        <v>330</v>
      </c>
      <c r="B2" s="485" t="s">
        <v>546</v>
      </c>
      <c r="C2" s="484" t="s">
        <v>545</v>
      </c>
    </row>
    <row r="3" spans="1:3" x14ac:dyDescent="0.25">
      <c r="A3" s="467" t="s">
        <v>544</v>
      </c>
      <c r="B3" s="483" t="s">
        <v>203</v>
      </c>
      <c r="C3" s="482" t="s">
        <v>543</v>
      </c>
    </row>
    <row r="4" spans="1:3" x14ac:dyDescent="0.25">
      <c r="A4" s="467" t="s">
        <v>542</v>
      </c>
      <c r="B4" s="483" t="s">
        <v>541</v>
      </c>
      <c r="C4" s="482" t="s">
        <v>541</v>
      </c>
    </row>
    <row r="5" spans="1:3" x14ac:dyDescent="0.25">
      <c r="A5" s="467" t="s">
        <v>540</v>
      </c>
      <c r="B5" s="481" t="s">
        <v>154</v>
      </c>
      <c r="C5" s="138" t="s">
        <v>179</v>
      </c>
    </row>
    <row r="6" spans="1:3" hidden="1" outlineLevel="1" x14ac:dyDescent="0.25">
      <c r="A6" s="467" t="s">
        <v>205</v>
      </c>
      <c r="B6" s="466" t="s">
        <v>209</v>
      </c>
      <c r="C6" s="465" t="s">
        <v>539</v>
      </c>
    </row>
    <row r="7" spans="1:3" hidden="1" outlineLevel="1" x14ac:dyDescent="0.25">
      <c r="A7" s="467" t="s">
        <v>490</v>
      </c>
      <c r="B7" s="477">
        <f>'Dés de vie'!B13</f>
        <v>5</v>
      </c>
      <c r="C7" s="476">
        <f>'Dés de vie'!C13</f>
        <v>5</v>
      </c>
    </row>
    <row r="8" spans="1:3" hidden="1" outlineLevel="1" x14ac:dyDescent="0.25">
      <c r="A8" s="467" t="s">
        <v>159</v>
      </c>
      <c r="B8" s="466" t="s">
        <v>538</v>
      </c>
      <c r="C8" s="465" t="s">
        <v>538</v>
      </c>
    </row>
    <row r="9" spans="1:3" ht="15.75" hidden="1" outlineLevel="1" thickBot="1" x14ac:dyDescent="0.3">
      <c r="A9" s="462" t="s">
        <v>537</v>
      </c>
      <c r="B9" s="471">
        <v>2</v>
      </c>
      <c r="C9" s="470">
        <v>2</v>
      </c>
    </row>
    <row r="10" spans="1:3" hidden="1" outlineLevel="1" x14ac:dyDescent="0.25">
      <c r="A10" s="463" t="s">
        <v>536</v>
      </c>
      <c r="B10" s="469">
        <f>'Dés de vie'!J16</f>
        <v>51</v>
      </c>
      <c r="C10" s="468">
        <f>'Dés de vie'!K16</f>
        <v>25</v>
      </c>
    </row>
    <row r="11" spans="1:3" hidden="1" outlineLevel="1" x14ac:dyDescent="0.25">
      <c r="A11" s="467" t="s">
        <v>535</v>
      </c>
      <c r="B11" s="477">
        <f>10+B54+B23</f>
        <v>21</v>
      </c>
      <c r="C11" s="476" t="str">
        <f>'Equipment Combat'!C343</f>
        <v>20</v>
      </c>
    </row>
    <row r="12" spans="1:3" hidden="1" outlineLevel="1" x14ac:dyDescent="0.25">
      <c r="A12" s="467" t="s">
        <v>208</v>
      </c>
      <c r="B12" s="466" t="s">
        <v>534</v>
      </c>
      <c r="C12" s="465" t="s">
        <v>534</v>
      </c>
    </row>
    <row r="13" spans="1:3" hidden="1" outlineLevel="1" x14ac:dyDescent="0.25">
      <c r="A13" s="467" t="s">
        <v>533</v>
      </c>
      <c r="B13" s="466" t="s">
        <v>532</v>
      </c>
      <c r="C13" s="465" t="s">
        <v>374</v>
      </c>
    </row>
    <row r="14" spans="1:3" hidden="1" outlineLevel="1" x14ac:dyDescent="0.25">
      <c r="A14" s="467" t="s">
        <v>206</v>
      </c>
      <c r="B14" s="466" t="s">
        <v>531</v>
      </c>
      <c r="C14" s="465" t="s">
        <v>210</v>
      </c>
    </row>
    <row r="15" spans="1:3" ht="15.75" hidden="1" outlineLevel="1" thickBot="1" x14ac:dyDescent="0.3">
      <c r="A15" s="462" t="s">
        <v>530</v>
      </c>
      <c r="B15" s="461" t="s">
        <v>374</v>
      </c>
      <c r="C15" s="464" t="s">
        <v>529</v>
      </c>
    </row>
    <row r="16" spans="1:3" hidden="1" outlineLevel="1" x14ac:dyDescent="0.25">
      <c r="A16" s="474" t="s">
        <v>10</v>
      </c>
      <c r="B16" s="473">
        <f>Stats!J2</f>
        <v>16</v>
      </c>
      <c r="C16" s="472">
        <f>Stats!K2</f>
        <v>10</v>
      </c>
    </row>
    <row r="17" spans="1:3" hidden="1" outlineLevel="1" x14ac:dyDescent="0.25">
      <c r="A17" s="467" t="s">
        <v>11</v>
      </c>
      <c r="B17" s="477">
        <f>Stats!J3</f>
        <v>18</v>
      </c>
      <c r="C17" s="476">
        <f>Stats!K3</f>
        <v>10</v>
      </c>
    </row>
    <row r="18" spans="1:3" hidden="1" outlineLevel="1" x14ac:dyDescent="0.25">
      <c r="A18" s="467" t="s">
        <v>8</v>
      </c>
      <c r="B18" s="477">
        <f>Stats!J4</f>
        <v>16</v>
      </c>
      <c r="C18" s="476">
        <f>Stats!K4</f>
        <v>10</v>
      </c>
    </row>
    <row r="19" spans="1:3" hidden="1" outlineLevel="1" x14ac:dyDescent="0.25">
      <c r="A19" s="467" t="s">
        <v>12</v>
      </c>
      <c r="B19" s="477">
        <f>Stats!J5</f>
        <v>3</v>
      </c>
      <c r="C19" s="476">
        <f>Stats!K5</f>
        <v>10</v>
      </c>
    </row>
    <row r="20" spans="1:3" hidden="1" outlineLevel="1" x14ac:dyDescent="0.25">
      <c r="A20" s="467" t="s">
        <v>13</v>
      </c>
      <c r="B20" s="477">
        <f>Stats!J6</f>
        <v>14</v>
      </c>
      <c r="C20" s="476">
        <f>Stats!K6</f>
        <v>10</v>
      </c>
    </row>
    <row r="21" spans="1:3" ht="15.75" hidden="1" outlineLevel="1" thickBot="1" x14ac:dyDescent="0.3">
      <c r="A21" s="480" t="s">
        <v>14</v>
      </c>
      <c r="B21" s="477">
        <f>Stats!J7</f>
        <v>10</v>
      </c>
      <c r="C21" s="476">
        <f>Stats!K7</f>
        <v>10</v>
      </c>
    </row>
    <row r="22" spans="1:3" hidden="1" outlineLevel="1" x14ac:dyDescent="0.25">
      <c r="A22" s="479" t="s">
        <v>10</v>
      </c>
      <c r="B22" s="469">
        <f t="shared" ref="B22:B27" si="0">INT(B16/2-5)</f>
        <v>3</v>
      </c>
      <c r="C22" s="468"/>
    </row>
    <row r="23" spans="1:3" hidden="1" outlineLevel="1" x14ac:dyDescent="0.25">
      <c r="A23" s="478" t="s">
        <v>11</v>
      </c>
      <c r="B23" s="477">
        <f t="shared" si="0"/>
        <v>4</v>
      </c>
      <c r="C23" s="476"/>
    </row>
    <row r="24" spans="1:3" hidden="1" outlineLevel="1" x14ac:dyDescent="0.25">
      <c r="A24" s="478" t="s">
        <v>8</v>
      </c>
      <c r="B24" s="477">
        <f t="shared" si="0"/>
        <v>3</v>
      </c>
      <c r="C24" s="476"/>
    </row>
    <row r="25" spans="1:3" hidden="1" outlineLevel="1" x14ac:dyDescent="0.25">
      <c r="A25" s="478" t="s">
        <v>12</v>
      </c>
      <c r="B25" s="477">
        <f t="shared" si="0"/>
        <v>-4</v>
      </c>
      <c r="C25" s="476"/>
    </row>
    <row r="26" spans="1:3" hidden="1" outlineLevel="1" x14ac:dyDescent="0.25">
      <c r="A26" s="478" t="s">
        <v>13</v>
      </c>
      <c r="B26" s="477">
        <f t="shared" si="0"/>
        <v>2</v>
      </c>
      <c r="C26" s="476"/>
    </row>
    <row r="27" spans="1:3" ht="15.75" hidden="1" outlineLevel="1" thickBot="1" x14ac:dyDescent="0.3">
      <c r="A27" s="475" t="s">
        <v>14</v>
      </c>
      <c r="B27" s="471">
        <f t="shared" si="0"/>
        <v>0</v>
      </c>
      <c r="C27" s="470"/>
    </row>
    <row r="28" spans="1:3" hidden="1" outlineLevel="1" x14ac:dyDescent="0.25">
      <c r="A28" s="479" t="s">
        <v>504</v>
      </c>
      <c r="B28" s="469">
        <f>B49+B26</f>
        <v>11</v>
      </c>
      <c r="C28" s="468">
        <f>C49+Skills!C$70</f>
        <v>9</v>
      </c>
    </row>
    <row r="29" spans="1:3" hidden="1" outlineLevel="1" x14ac:dyDescent="0.25">
      <c r="A29" s="478" t="s">
        <v>501</v>
      </c>
      <c r="B29" s="477">
        <f>B50+B24</f>
        <v>12</v>
      </c>
      <c r="C29" s="476">
        <f>Skills!C4</f>
        <v>10</v>
      </c>
    </row>
    <row r="30" spans="1:3" hidden="1" outlineLevel="1" x14ac:dyDescent="0.25">
      <c r="A30" s="478" t="s">
        <v>528</v>
      </c>
      <c r="B30" s="477">
        <f>B51+B23</f>
        <v>13</v>
      </c>
      <c r="C30" s="476">
        <f>Skills!C5</f>
        <v>11</v>
      </c>
    </row>
    <row r="31" spans="1:3" ht="15.75" hidden="1" outlineLevel="1" thickBot="1" x14ac:dyDescent="0.3">
      <c r="A31" s="475" t="s">
        <v>503</v>
      </c>
      <c r="B31" s="471">
        <f>B52+B26</f>
        <v>11</v>
      </c>
      <c r="C31" s="470">
        <f>Skills!C6</f>
        <v>12</v>
      </c>
    </row>
    <row r="32" spans="1:3" hidden="1" outlineLevel="1" x14ac:dyDescent="0.25">
      <c r="A32" s="577" t="s">
        <v>504</v>
      </c>
      <c r="B32" s="570" t="s">
        <v>88</v>
      </c>
      <c r="C32" s="571"/>
    </row>
    <row r="33" spans="1:3" hidden="1" outlineLevel="1" x14ac:dyDescent="0.25">
      <c r="A33" s="564" t="s">
        <v>501</v>
      </c>
      <c r="B33" s="568" t="s">
        <v>88</v>
      </c>
      <c r="C33" s="566"/>
    </row>
    <row r="34" spans="1:3" hidden="1" outlineLevel="1" x14ac:dyDescent="0.25">
      <c r="A34" s="564" t="s">
        <v>528</v>
      </c>
      <c r="B34" s="568" t="s">
        <v>88</v>
      </c>
      <c r="C34" s="566"/>
    </row>
    <row r="35" spans="1:3" ht="15.75" hidden="1" outlineLevel="1" thickBot="1" x14ac:dyDescent="0.3">
      <c r="A35" s="578" t="s">
        <v>503</v>
      </c>
      <c r="B35" s="575" t="s">
        <v>88</v>
      </c>
      <c r="C35" s="574"/>
    </row>
    <row r="36" spans="1:3" hidden="1" outlineLevel="1" x14ac:dyDescent="0.25">
      <c r="A36" s="569" t="s">
        <v>74</v>
      </c>
      <c r="B36" s="570" t="s">
        <v>86</v>
      </c>
      <c r="C36" s="571"/>
    </row>
    <row r="37" spans="1:3" hidden="1" outlineLevel="1" x14ac:dyDescent="0.25">
      <c r="A37" s="567" t="s">
        <v>134</v>
      </c>
      <c r="B37" s="568" t="s">
        <v>86</v>
      </c>
      <c r="C37" s="566"/>
    </row>
    <row r="38" spans="1:3" hidden="1" outlineLevel="1" x14ac:dyDescent="0.25">
      <c r="A38" s="567" t="s">
        <v>580</v>
      </c>
      <c r="B38" s="568" t="s">
        <v>86</v>
      </c>
      <c r="C38" s="566"/>
    </row>
    <row r="39" spans="1:3" hidden="1" outlineLevel="1" x14ac:dyDescent="0.25">
      <c r="A39" s="567" t="s">
        <v>20</v>
      </c>
      <c r="B39" s="568" t="s">
        <v>86</v>
      </c>
      <c r="C39" s="566"/>
    </row>
    <row r="40" spans="1:3" hidden="1" outlineLevel="1" x14ac:dyDescent="0.25">
      <c r="A40" s="567" t="s">
        <v>51</v>
      </c>
      <c r="B40" s="568"/>
      <c r="C40" s="579" t="s">
        <v>86</v>
      </c>
    </row>
    <row r="41" spans="1:3" hidden="1" outlineLevel="1" x14ac:dyDescent="0.25">
      <c r="A41" s="567" t="s">
        <v>52</v>
      </c>
      <c r="B41" s="568" t="s">
        <v>86</v>
      </c>
      <c r="C41" s="566"/>
    </row>
    <row r="42" spans="1:3" hidden="1" outlineLevel="1" x14ac:dyDescent="0.25">
      <c r="A42" s="567" t="s">
        <v>53</v>
      </c>
      <c r="B42" s="568"/>
      <c r="C42" s="579" t="s">
        <v>86</v>
      </c>
    </row>
    <row r="43" spans="1:3" hidden="1" outlineLevel="1" x14ac:dyDescent="0.25">
      <c r="A43" s="567" t="s">
        <v>55</v>
      </c>
      <c r="B43" s="568" t="s">
        <v>86</v>
      </c>
      <c r="C43" s="579"/>
    </row>
    <row r="44" spans="1:3" hidden="1" outlineLevel="1" x14ac:dyDescent="0.25">
      <c r="A44" s="567" t="s">
        <v>82</v>
      </c>
      <c r="B44" s="568"/>
      <c r="C44" s="579" t="s">
        <v>86</v>
      </c>
    </row>
    <row r="45" spans="1:3" hidden="1" outlineLevel="1" x14ac:dyDescent="0.25">
      <c r="A45" s="567" t="s">
        <v>59</v>
      </c>
      <c r="B45" s="568"/>
      <c r="C45" s="579" t="s">
        <v>86</v>
      </c>
    </row>
    <row r="46" spans="1:3" hidden="1" outlineLevel="1" x14ac:dyDescent="0.25">
      <c r="A46" s="567" t="s">
        <v>62</v>
      </c>
      <c r="B46" s="568"/>
      <c r="C46" s="579" t="s">
        <v>86</v>
      </c>
    </row>
    <row r="47" spans="1:3" hidden="1" outlineLevel="1" x14ac:dyDescent="0.25">
      <c r="A47" s="567" t="s">
        <v>23</v>
      </c>
      <c r="B47" s="568" t="s">
        <v>88</v>
      </c>
      <c r="C47" s="566"/>
    </row>
    <row r="48" spans="1:3" ht="15.75" hidden="1" outlineLevel="1" thickBot="1" x14ac:dyDescent="0.3">
      <c r="A48" s="572" t="s">
        <v>24</v>
      </c>
      <c r="B48" s="575" t="s">
        <v>86</v>
      </c>
      <c r="C48" s="574"/>
    </row>
    <row r="49" spans="1:3" hidden="1" outlineLevel="1" x14ac:dyDescent="0.25">
      <c r="A49" s="569" t="s">
        <v>504</v>
      </c>
      <c r="B49" s="576">
        <f>IF(B32="Trained",2+'Dés de vie'!J$13)+IF(B32="Expert",4+'Dés de vie'!J$13)+IF(B32="Master",6+'Dés de vie'!J$13)+IF(B32="Legendary",8+'Dés de vie'!J$13)</f>
        <v>9</v>
      </c>
      <c r="C49" s="571">
        <f>'Dés de vie'!C$13</f>
        <v>5</v>
      </c>
    </row>
    <row r="50" spans="1:3" hidden="1" outlineLevel="1" x14ac:dyDescent="0.25">
      <c r="A50" s="567" t="s">
        <v>501</v>
      </c>
      <c r="B50" s="565">
        <f>IF(B33="Trained",2+'Dés de vie'!J$13)+IF(B33="Expert",4+'Dés de vie'!J$13)+IF(B33="Master",6+'Dés de vie'!J$13)+IF(B33="Legendary",8+'Dés de vie'!J$13)</f>
        <v>9</v>
      </c>
      <c r="C50" s="566"/>
    </row>
    <row r="51" spans="1:3" hidden="1" outlineLevel="1" x14ac:dyDescent="0.25">
      <c r="A51" s="567" t="s">
        <v>528</v>
      </c>
      <c r="B51" s="565">
        <f>IF(B34="Trained",2+'Dés de vie'!J$13)+IF(B34="Expert",4+'Dés de vie'!J$13)+IF(B34="Master",6+'Dés de vie'!J$13)+IF(B34="Legendary",8+'Dés de vie'!J$13)</f>
        <v>9</v>
      </c>
      <c r="C51" s="566"/>
    </row>
    <row r="52" spans="1:3" ht="15.75" hidden="1" outlineLevel="1" thickBot="1" x14ac:dyDescent="0.3">
      <c r="A52" s="572" t="s">
        <v>503</v>
      </c>
      <c r="B52" s="573">
        <f>IF(B35="Trained",2+'Dés de vie'!J$13)+IF(B35="Expert",4+'Dés de vie'!J$13)+IF(B35="Master",6+'Dés de vie'!J$13)+IF(B35="Legendary",8+'Dés de vie'!J$13)</f>
        <v>9</v>
      </c>
      <c r="C52" s="574"/>
    </row>
    <row r="53" spans="1:3" hidden="1" outlineLevel="1" x14ac:dyDescent="0.25">
      <c r="A53" s="567" t="s">
        <v>527</v>
      </c>
      <c r="B53" s="565">
        <f>IF(B36="Trained",2+'Dés de vie'!J$13)+IF(B36="Expert",4+'Dés de vie'!J$13)+IF(B36="Master",6+'Dés de vie'!J$13)+IF(B36="Legendary",8+'Dés de vie'!J$13)</f>
        <v>7</v>
      </c>
      <c r="C53" s="566"/>
    </row>
    <row r="54" spans="1:3" hidden="1" outlineLevel="1" x14ac:dyDescent="0.25">
      <c r="A54" s="567" t="s">
        <v>535</v>
      </c>
      <c r="B54" s="565">
        <f>IF(B37="Trained",2+'Dés de vie'!J$13)+IF(B37="Expert",4+'Dés de vie'!J$13)+IF(B37="Master",6+'Dés de vie'!J$13)+IF(B37="Legendary",8+'Dés de vie'!J$13)</f>
        <v>7</v>
      </c>
      <c r="C54" s="566"/>
    </row>
    <row r="55" spans="1:3" hidden="1" outlineLevel="1" x14ac:dyDescent="0.25">
      <c r="A55" s="567" t="s">
        <v>580</v>
      </c>
      <c r="B55" s="565"/>
      <c r="C55" s="566"/>
    </row>
    <row r="56" spans="1:3" hidden="1" outlineLevel="1" x14ac:dyDescent="0.25">
      <c r="A56" s="567" t="s">
        <v>20</v>
      </c>
      <c r="B56" s="565">
        <f>IF(B39="Trained",2+'Dés de vie'!J$13)+IF(B39="Expert",4+'Dés de vie'!J$13)+IF(B39="Master",6+'Dés de vie'!J$13)+IF(B39="Legendary",8+'Dés de vie'!J$13)</f>
        <v>7</v>
      </c>
      <c r="C56" s="565">
        <f>'Dés de vie'!C$13</f>
        <v>5</v>
      </c>
    </row>
    <row r="57" spans="1:3" hidden="1" outlineLevel="1" x14ac:dyDescent="0.25">
      <c r="A57" s="567" t="s">
        <v>51</v>
      </c>
      <c r="B57" s="565"/>
      <c r="C57" s="565">
        <f>IF(C40="Trained",2+'Dés de vie'!K$13)+IF(C40="Expert",4+'Dés de vie'!K$13)+IF(C40="Master",6+'Dés de vie'!K$13)+IF(C40="Legendary",8+'Dés de vie'!K$13)</f>
        <v>7</v>
      </c>
    </row>
    <row r="58" spans="1:3" hidden="1" outlineLevel="1" x14ac:dyDescent="0.25">
      <c r="A58" s="567" t="s">
        <v>52</v>
      </c>
      <c r="B58" s="565">
        <f>IF(B41="Trained",2+'Dés de vie'!J$13)+IF(B41="Expert",4+'Dés de vie'!J$13)+IF(B41="Master",6+'Dés de vie'!J$13)+IF(B41="Legendary",8+'Dés de vie'!J$13)</f>
        <v>7</v>
      </c>
      <c r="C58" s="566"/>
    </row>
    <row r="59" spans="1:3" hidden="1" outlineLevel="1" x14ac:dyDescent="0.25">
      <c r="A59" s="567" t="s">
        <v>53</v>
      </c>
      <c r="B59" s="565"/>
      <c r="C59" s="565">
        <f>IF(C42="Trained",2+'Dés de vie'!K$13)+IF(C42="Expert",4+'Dés de vie'!K$13)+IF(C42="Master",6+'Dés de vie'!K$13)+IF(C42="Legendary",8+'Dés de vie'!K$13)</f>
        <v>7</v>
      </c>
    </row>
    <row r="60" spans="1:3" hidden="1" outlineLevel="1" x14ac:dyDescent="0.25">
      <c r="A60" s="567" t="s">
        <v>55</v>
      </c>
      <c r="B60" s="565">
        <f>IF(B43="Trained",2+'Dés de vie'!J$13)+IF(B43="Expert",4+'Dés de vie'!J$13)+IF(B43="Master",6+'Dés de vie'!J$13)+IF(B43="Legendary",8+'Dés de vie'!J$13)</f>
        <v>7</v>
      </c>
      <c r="C60" s="565"/>
    </row>
    <row r="61" spans="1:3" hidden="1" outlineLevel="1" x14ac:dyDescent="0.25">
      <c r="A61" s="567" t="s">
        <v>82</v>
      </c>
      <c r="B61" s="565"/>
      <c r="C61" s="565">
        <f>IF(C44="Trained",2+'Dés de vie'!K$13)+IF(C44="Expert",4+'Dés de vie'!K$13)+IF(C44="Master",6+'Dés de vie'!K$13)+IF(C44="Legendary",8+'Dés de vie'!K$13)</f>
        <v>7</v>
      </c>
    </row>
    <row r="62" spans="1:3" hidden="1" outlineLevel="1" x14ac:dyDescent="0.25">
      <c r="A62" s="567" t="s">
        <v>59</v>
      </c>
      <c r="B62" s="565"/>
      <c r="C62" s="565">
        <f>IF(C45="Trained",2+'Dés de vie'!K$13)+IF(C45="Expert",4+'Dés de vie'!K$13)+IF(C45="Master",6+'Dés de vie'!K$13)+IF(C45="Legendary",8+'Dés de vie'!K$13)</f>
        <v>7</v>
      </c>
    </row>
    <row r="63" spans="1:3" hidden="1" outlineLevel="1" x14ac:dyDescent="0.25">
      <c r="A63" s="567" t="s">
        <v>62</v>
      </c>
      <c r="B63" s="565"/>
      <c r="C63" s="565">
        <f>IF(C46="Trained",2+'Dés de vie'!K$13)+IF(C46="Expert",4+'Dés de vie'!K$13)+IF(C46="Master",6+'Dés de vie'!K$13)+IF(C46="Legendary",8+'Dés de vie'!K$13)</f>
        <v>7</v>
      </c>
    </row>
    <row r="64" spans="1:3" hidden="1" outlineLevel="1" x14ac:dyDescent="0.25">
      <c r="A64" s="567" t="s">
        <v>23</v>
      </c>
      <c r="B64" s="565">
        <f>IF(B47="Trained",2+'Dés de vie'!J$13)+IF(B47="Expert",4+'Dés de vie'!J$13)+IF(B47="Master",6+'Dés de vie'!J$13)+IF(B47="Legendary",8+'Dés de vie'!J$13)</f>
        <v>9</v>
      </c>
      <c r="C64" s="565">
        <f>'Dés de vie'!C$13</f>
        <v>5</v>
      </c>
    </row>
    <row r="65" spans="1:3" ht="15.75" hidden="1" outlineLevel="1" thickBot="1" x14ac:dyDescent="0.3">
      <c r="A65" s="572" t="s">
        <v>24</v>
      </c>
      <c r="B65" s="565">
        <f>IF(B48="Trained",2+'Dés de vie'!J$13)+IF(B48="Expert",4+'Dés de vie'!J$13)+IF(B48="Master",6+'Dés de vie'!J$13)+IF(B48="Legendary",8+'Dés de vie'!J$13)</f>
        <v>7</v>
      </c>
      <c r="C65" s="573"/>
    </row>
    <row r="66" spans="1:3" hidden="1" outlineLevel="1" collapsed="1" x14ac:dyDescent="0.25">
      <c r="A66" s="569" t="s">
        <v>527</v>
      </c>
      <c r="B66" s="576">
        <f>B53+MAX(B22,B23)</f>
        <v>11</v>
      </c>
      <c r="C66" s="571"/>
    </row>
    <row r="67" spans="1:3" hidden="1" outlineLevel="1" x14ac:dyDescent="0.25">
      <c r="A67" s="567" t="s">
        <v>20</v>
      </c>
      <c r="B67" s="565">
        <f>B56+B23</f>
        <v>11</v>
      </c>
      <c r="C67" s="566">
        <f>C56+Skills!C$70</f>
        <v>9</v>
      </c>
    </row>
    <row r="68" spans="1:3" hidden="1" outlineLevel="1" x14ac:dyDescent="0.25">
      <c r="A68" s="567" t="s">
        <v>51</v>
      </c>
      <c r="B68" s="565"/>
      <c r="C68" s="566">
        <f>C57+Skills!C$70</f>
        <v>11</v>
      </c>
    </row>
    <row r="69" spans="1:3" hidden="1" outlineLevel="1" x14ac:dyDescent="0.25">
      <c r="A69" s="567" t="s">
        <v>52</v>
      </c>
      <c r="B69" s="565">
        <f>B58+B22</f>
        <v>10</v>
      </c>
      <c r="C69" s="566"/>
    </row>
    <row r="70" spans="1:3" hidden="1" outlineLevel="1" x14ac:dyDescent="0.25">
      <c r="A70" s="567" t="s">
        <v>53</v>
      </c>
      <c r="B70" s="565"/>
      <c r="C70" s="566">
        <f>C59+Skills!C$70</f>
        <v>11</v>
      </c>
    </row>
    <row r="71" spans="1:3" hidden="1" outlineLevel="1" x14ac:dyDescent="0.25">
      <c r="A71" s="567" t="s">
        <v>55</v>
      </c>
      <c r="B71" s="565">
        <f>B60+B24</f>
        <v>10</v>
      </c>
      <c r="C71" s="566"/>
    </row>
    <row r="72" spans="1:3" hidden="1" outlineLevel="1" x14ac:dyDescent="0.25">
      <c r="A72" s="567" t="s">
        <v>82</v>
      </c>
      <c r="B72" s="565"/>
      <c r="C72" s="566">
        <f>C61+Skills!C$70</f>
        <v>11</v>
      </c>
    </row>
    <row r="73" spans="1:3" hidden="1" outlineLevel="1" x14ac:dyDescent="0.25">
      <c r="A73" s="567" t="s">
        <v>59</v>
      </c>
      <c r="B73" s="565"/>
      <c r="C73" s="566">
        <f>C62+Skills!C$70</f>
        <v>11</v>
      </c>
    </row>
    <row r="74" spans="1:3" hidden="1" outlineLevel="1" x14ac:dyDescent="0.25">
      <c r="A74" s="567" t="s">
        <v>62</v>
      </c>
      <c r="B74" s="565"/>
      <c r="C74" s="566">
        <f>C63+Skills!C$70</f>
        <v>11</v>
      </c>
    </row>
    <row r="75" spans="1:3" hidden="1" outlineLevel="1" x14ac:dyDescent="0.25">
      <c r="A75" s="567" t="s">
        <v>23</v>
      </c>
      <c r="B75" s="565">
        <f>B64+B23</f>
        <v>13</v>
      </c>
      <c r="C75" s="566">
        <f>C64+Skills!C$70</f>
        <v>9</v>
      </c>
    </row>
    <row r="76" spans="1:3" ht="15.75" hidden="1" outlineLevel="1" thickBot="1" x14ac:dyDescent="0.3">
      <c r="A76" s="572" t="s">
        <v>24</v>
      </c>
      <c r="B76" s="1194">
        <f>B65+B24</f>
        <v>10</v>
      </c>
      <c r="C76" s="574"/>
    </row>
    <row r="77" spans="1:3" hidden="1" outlineLevel="1" x14ac:dyDescent="0.25">
      <c r="A77" s="474" t="s">
        <v>365</v>
      </c>
      <c r="B77" s="1192" t="str">
        <f>CONCATENATE(B66,"/",B66-5,"/",B66-10)</f>
        <v>11/6/1</v>
      </c>
      <c r="C77" s="1193" t="s">
        <v>374</v>
      </c>
    </row>
    <row r="78" spans="1:3" hidden="1" outlineLevel="1" x14ac:dyDescent="0.25">
      <c r="A78" s="467" t="s">
        <v>365</v>
      </c>
      <c r="B78" s="466" t="str">
        <f>CONCATENATE("2d8+",B22," piercing")</f>
        <v>2d8+3 piercing</v>
      </c>
      <c r="C78" s="465" t="s">
        <v>374</v>
      </c>
    </row>
    <row r="79" spans="1:3" hidden="1" outlineLevel="1" x14ac:dyDescent="0.25">
      <c r="A79" s="467" t="s">
        <v>526</v>
      </c>
      <c r="B79" s="466" t="str">
        <f>CONCATENATE(B66,"/",B66-4,"/",B66-8)</f>
        <v>11/7/3</v>
      </c>
      <c r="C79" s="465" t="s">
        <v>374</v>
      </c>
    </row>
    <row r="80" spans="1:3" ht="15.75" hidden="1" outlineLevel="1" thickBot="1" x14ac:dyDescent="0.3">
      <c r="A80" s="462" t="s">
        <v>526</v>
      </c>
      <c r="B80" s="461" t="str">
        <f>CONCATENATE("2d6+",B22," slashing")</f>
        <v>2d6+3 slashing</v>
      </c>
      <c r="C80" s="464" t="s">
        <v>374</v>
      </c>
    </row>
    <row r="81" spans="1:3" hidden="1" outlineLevel="1" x14ac:dyDescent="0.25">
      <c r="A81" s="569" t="s">
        <v>79</v>
      </c>
      <c r="B81" s="844"/>
      <c r="C81" s="845" t="s">
        <v>729</v>
      </c>
    </row>
    <row r="82" spans="1:3" collapsed="1" x14ac:dyDescent="0.25">
      <c r="A82" s="467" t="s">
        <v>79</v>
      </c>
      <c r="B82" s="846"/>
      <c r="C82" s="843" t="s">
        <v>525</v>
      </c>
    </row>
    <row r="83" spans="1:3" x14ac:dyDescent="0.25">
      <c r="A83" s="467" t="s">
        <v>79</v>
      </c>
      <c r="B83" s="846"/>
      <c r="C83" s="842" t="s">
        <v>728</v>
      </c>
    </row>
    <row r="84" spans="1:3" ht="15.75" thickBot="1" x14ac:dyDescent="0.3">
      <c r="A84" s="462" t="s">
        <v>524</v>
      </c>
      <c r="B84" s="847"/>
      <c r="C84" s="839" t="s">
        <v>727</v>
      </c>
    </row>
    <row r="85" spans="1:3" x14ac:dyDescent="0.25">
      <c r="A85" s="662"/>
      <c r="B85" s="840"/>
      <c r="C85" s="841"/>
    </row>
    <row r="87" spans="1:3" hidden="1" outlineLevel="1" x14ac:dyDescent="0.25">
      <c r="B87" s="445" t="str">
        <f>CONCATENATE(B1," : ",B2,", ",B3,", ",B4,", Minion of  ",B5)</f>
        <v>Top : Animal Companion, Dromaeosaur, Animal, Minion of  Tip</v>
      </c>
      <c r="C87" s="445" t="str">
        <f>CONCATENATE(C1," : ",C2,", ",C3,", ",C4,", Minion of  ",C5)</f>
        <v>Gravlax : Familiar, Cat, Animal, Minion of  Zabraarallongex</v>
      </c>
    </row>
    <row r="88" spans="1:3" hidden="1" outlineLevel="1" x14ac:dyDescent="0.25">
      <c r="B88" s="445" t="str">
        <f>CONCATENATE(B6,", Level ",B7,", Align. ",B8,", ",B12,", ",IF(B13="-","",CONCATENATE(B13,", ")),"Speed ",B14)</f>
        <v>Medium, Level 5, Align. N, Low-light vision, Scent (imprecise, 30 feet), Speed 50'</v>
      </c>
      <c r="C88" s="445" t="str">
        <f>CONCATENATE(C6,", Level ",C7,", Align. ",C8,", ",C12,", ",IF(C13="-","",CONCATENATE(C13,", ")),"Speed ",C14)</f>
        <v>Tiny, Level 5, Align. N, Low-light vision, Speed 25'</v>
      </c>
    </row>
    <row r="89" spans="1:3" hidden="1" outlineLevel="1" x14ac:dyDescent="0.25">
      <c r="B89" s="445" t="str">
        <f>CONCATENATE("HP ",B10,", AC ",B11,IF(B22="","",CONCATENATE(", STR +",B22,", DEX +",B23,", CON +",B24,", INT ",B25,", WIS +",B26,", CHA +",B27,)),", PER ",B28,", FOR ",B29,", REF ",B30,", WIL ",B31)</f>
        <v>HP 51, AC 21, STR +3, DEX +4, CON +3, INT -4, WIS +2, CHA +0, PER 11, FOR 12, REF 13, WIL 11</v>
      </c>
      <c r="C89" s="445" t="str">
        <f>CONCATENATE("HP ",C10,", AC ",C11,IF(C22="","",CONCATENATE(", STR +",C22,", DEX +",C23,", CON +",C24,", INT ",C25,", WIS +",C26,", CHA +",C27,)),", PER ",C28,", FOR ",C29,", REF ",C30,", WIL ",C31)</f>
        <v>HP 25, AC 20, PER 9, FOR 10, REF 11, WIL 12</v>
      </c>
    </row>
    <row r="90" spans="1:3" hidden="1" outlineLevel="1" x14ac:dyDescent="0.25">
      <c r="B90" s="445" t="str">
        <f>CONCATENATE(IF(B66="","",$A66&amp;" "&amp;B66&amp;", "),IF(B67="","",$A67&amp;" "&amp;B67&amp;", "),IF(B68="","",$A68&amp;" "&amp;B68&amp;", "),IF(B69="","",$A69&amp;" "&amp;B69&amp;", "),IF(B70="","",$A70&amp;" "&amp;B70&amp;", "),IF(B71="","",$A71&amp;" "&amp;B71&amp;", "),IF(B72="","",$A72&amp;" "&amp;B72&amp;", "),IF(B73="","",$A73&amp;" "&amp;B73&amp;", "),IF(B74="","",$A74&amp;" "&amp;B74&amp;", "),IF(B75="","",$A75&amp;" "&amp;B75&amp;", "),IF(B76="","",$A76&amp;" "&amp;B76))</f>
        <v>Attack rolls 11, Acrobatics 11, Athletics 10, Intimidation 10, Stealth 13, Survival 10</v>
      </c>
      <c r="C90" s="445" t="str">
        <f>CONCATENATE(IF(C66="","",$A66&amp;" "&amp;C66&amp;", "),IF(C67="","",$A67&amp;" "&amp;C67&amp;", "),IF(C68="","",$A68&amp;" "&amp;C68&amp;", "),IF(C69="","",$A69&amp;" "&amp;C69&amp;", "),IF(C70="","",$A70&amp;" "&amp;C70&amp;", "),IF(C71="","",$A71&amp;" "&amp;C71&amp;", "),IF(C72="","",$A72&amp;" "&amp;C72&amp;", "),IF(C73="","",$A73&amp;" "&amp;C73&amp;", "),IF(C74="","",$A74&amp;" "&amp;C74&amp;", "),IF(C75="","",$A75&amp;" "&amp;C75&amp;", "),IF(C76="","",$A76&amp;" "&amp;C76))</f>
        <v xml:space="preserve">Acrobatics 9, Arcana 11, Crafting 11, Lore 11, Occultism 11, Society 11, Stealth 9, </v>
      </c>
    </row>
    <row r="91" spans="1:3" hidden="1" outlineLevel="1" x14ac:dyDescent="0.25">
      <c r="B91" s="445" t="str">
        <f>IF(B77="-","",CONCATENATE("Jaws : ",B77," (",B78,")",", Talon : ",B79," (",B80,")"))&amp;B81&amp;IF(B82="","",", "&amp;B82)&amp;IF(B83="","",", "&amp;B83)&amp;IF(B84="","",", "&amp;B84)</f>
        <v>Jaws : 11/6/1 (2d8+3 piercing), Talon : 11/7/3 (2d6+3 slashing)</v>
      </c>
      <c r="C91" s="445" t="str">
        <f>IF(C77="-","",CONCATENATE("Jaws : ",C77," (",C78,")",", Talon : ",C79," (",C80,")"))&amp;C81&amp;IF(C82="","",", "&amp;C82)&amp;IF(C83="","",", "&amp;C83)&amp;IF(C84="","",", "&amp;C84)</f>
        <v>Low-light vision, Scent, Damage Avoidance (REF), Fast Movement (40'), Spell Delivery</v>
      </c>
    </row>
    <row r="92" spans="1:3" collapsed="1" x14ac:dyDescent="0.25"/>
  </sheetData>
  <hyperlinks>
    <hyperlink ref="B5" r:id="rId1" location="id=2533415" xr:uid="{2D847555-1FCF-48C3-A201-7EDFF3613711}"/>
    <hyperlink ref="C5" r:id="rId2" location="id=2533454" xr:uid="{AE8128AF-ABBA-4527-BC9F-2FD167AD2C97}"/>
    <hyperlink ref="B3" r:id="rId3" xr:uid="{D5FE1096-A0DB-4121-998C-66DF4D8E4AD9}"/>
    <hyperlink ref="C3" r:id="rId4" xr:uid="{87D744C1-1D0B-48B1-A39D-4BEDF5E6703E}"/>
    <hyperlink ref="C2" r:id="rId5" xr:uid="{7C47BC0B-B014-4F49-9BD2-B8FD6895EF8F}"/>
    <hyperlink ref="B2" r:id="rId6" xr:uid="{4A688F51-38F8-441D-9A3C-C5F8CB67D1A6}"/>
    <hyperlink ref="C4" r:id="rId7" xr:uid="{00A88768-5BCF-4890-A4E5-080BB8265672}"/>
    <hyperlink ref="B4" r:id="rId8" xr:uid="{14BADC79-42AF-44AC-8770-70951390026D}"/>
    <hyperlink ref="C84" r:id="rId9" xr:uid="{B861BEAF-CD0F-49A8-AAE6-3BF21981FFE4}"/>
    <hyperlink ref="C83" r:id="rId10" xr:uid="{B089B725-8BAC-4F5C-8C1E-1C019430E2F2}"/>
    <hyperlink ref="C82" r:id="rId11" xr:uid="{09803B95-DBC2-4329-ABD0-1526E45BF1E5}"/>
  </hyperlinks>
  <pageMargins left="0.7" right="0.7" top="0.75" bottom="0.75" header="0.3" footer="0.3"/>
  <pageSetup paperSize="9" orientation="portrait" horizontalDpi="360" verticalDpi="360"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Création</vt:lpstr>
      <vt:lpstr>Status courant</vt:lpstr>
      <vt:lpstr>Dés de vie</vt:lpstr>
      <vt:lpstr>Stats</vt:lpstr>
      <vt:lpstr>Skills</vt:lpstr>
      <vt:lpstr>Feats</vt:lpstr>
      <vt:lpstr>Spells</vt:lpstr>
      <vt:lpstr>Equipment Combat</vt:lpstr>
      <vt:lpstr>Minions</vt:lpstr>
      <vt:lpstr>Tip</vt:lpstr>
      <vt:lpstr>Zabra</vt:lpstr>
      <vt:lpstr>Belica</vt:lpstr>
      <vt:lpstr>Eddruk</vt:lpstr>
      <vt:lpstr>Thalion</vt:lpstr>
      <vt:lpstr>Osharys</vt:lpstr>
      <vt:lpstr>Ithiel</vt:lpstr>
      <vt:lpstr>Gartuk</vt:lpstr>
      <vt:lpstr>Belica!Zone_d_impression</vt:lpstr>
      <vt:lpstr>Eddruk!Zone_d_impression</vt:lpstr>
      <vt:lpstr>Gartuk!Zone_d_impression</vt:lpstr>
      <vt:lpstr>Ithiel!Zone_d_impression</vt:lpstr>
      <vt:lpstr>Osharys!Zone_d_impression</vt:lpstr>
      <vt:lpstr>Thalion!Zone_d_impression</vt:lpstr>
      <vt:lpstr>Tip!Zone_d_impression</vt:lpstr>
      <vt:lpstr>Zabra!Zone_d_impression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 VARLOOT</dc:creator>
  <cp:lastModifiedBy>33673</cp:lastModifiedBy>
  <cp:lastPrinted>2021-10-16T09:47:29Z</cp:lastPrinted>
  <dcterms:created xsi:type="dcterms:W3CDTF">2020-10-06T09:40:25Z</dcterms:created>
  <dcterms:modified xsi:type="dcterms:W3CDTF">2022-03-06T10:09:30Z</dcterms:modified>
</cp:coreProperties>
</file>